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5.xml" ContentType="application/vnd.openxmlformats-officedocument.spreadsheetml.comments+xml"/>
  <Override PartName="/xl/drawings/drawing15.xml" ContentType="application/vnd.openxmlformats-officedocument.drawing+xml"/>
  <Override PartName="/xl/comments6.xml" ContentType="application/vnd.openxmlformats-officedocument.spreadsheetml.comments+xml"/>
  <Override PartName="/xl/threadedComments/threadedComment1.xml" ContentType="application/vnd.ms-excel.threaded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7.xml" ContentType="application/vnd.openxmlformats-officedocument.spreadsheetml.comments+xml"/>
  <Override PartName="/xl/threadedComments/threadedComment2.xml" ContentType="application/vnd.ms-excel.threadedcomments+xml"/>
  <Override PartName="/xl/drawings/drawing22.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2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0"/>
  <workbookPr codeName="ThisWorkbook"/>
  <mc:AlternateContent xmlns:mc="http://schemas.openxmlformats.org/markup-compatibility/2006">
    <mc:Choice Requires="x15">
      <x15ac:absPath xmlns:x15ac="http://schemas.microsoft.com/office/spreadsheetml/2010/11/ac" url="E:\DOCUMENTOS OCI\2.6-27 INFORMES\2.6-27.13 Informe de Evaluacion y seguimiento\INFORMES 2024\SEGUIMIENTO PM INSTITUCIONAL\"/>
    </mc:Choice>
  </mc:AlternateContent>
  <xr:revisionPtr revIDLastSave="0" documentId="8_{9EA9B24D-A6C8-42CB-ADEA-523C4A2C76E5}" xr6:coauthVersionLast="47" xr6:coauthVersionMax="47" xr10:uidLastSave="{00000000-0000-0000-0000-000000000000}"/>
  <bookViews>
    <workbookView xWindow="-120" yWindow="-120" windowWidth="29040" windowHeight="15720" firstSheet="19" activeTab="19" xr2:uid="{00000000-000D-0000-FFFF-FFFF00000000}"/>
  </bookViews>
  <sheets>
    <sheet name="POSGRADOS" sheetId="128" r:id="rId1"/>
    <sheet name="COMISIÓN DE ESTUDIO" sheetId="125" r:id="rId2"/>
    <sheet name="EVALUACIÓN DOCENTE" sheetId="129" r:id="rId3"/>
    <sheet name="COMISIÓN ACADÉMICA" sheetId="126" r:id="rId4"/>
    <sheet name="ESTÍMULOS ACADEMICOS" sheetId="130" r:id="rId5"/>
    <sheet name="TALENTO HUMANO UNISALUD" sheetId="133" r:id="rId6"/>
    <sheet name="TALENTO HUMANO DIV." sheetId="132" r:id="rId7"/>
    <sheet name="SGSST" sheetId="135" r:id="rId8"/>
    <sheet name="MANTENIMIENTO" sheetId="101" r:id="rId9"/>
    <sheet name="CIC" sheetId="105" r:id="rId10"/>
    <sheet name="MATRICULA FINANCIERA" sheetId="107" r:id="rId11"/>
    <sheet name="LEGALIZACION AVANCES" sheetId="106" r:id="rId12"/>
    <sheet name="BIENESTAR UNIVERSITARIO" sheetId="131" r:id="rId13"/>
    <sheet name="ESTAMPILLA" sheetId="104" r:id="rId14"/>
    <sheet name="RELIQUIDACION MATRICULA" sheetId="138" r:id="rId15"/>
    <sheet name="GESTIÓN AMBIENTAL" sheetId="127" r:id="rId16"/>
    <sheet name="REGISTRO DE NOTAS" sheetId="139" r:id="rId17"/>
    <sheet name="TRANSPORTE." sheetId="137" r:id="rId18"/>
    <sheet name="ARCHIVO HISTÓRICO " sheetId="136" r:id="rId19"/>
    <sheet name="PROYECTOS VRI" sheetId="141" r:id="rId20"/>
    <sheet name="CGR 2019" sheetId="112" r:id="rId21"/>
    <sheet name="CGR 2020" sheetId="113" r:id="rId22"/>
    <sheet name="CGR 2021" sheetId="116" r:id="rId23"/>
    <sheet name="DETALLE INTERNOS" sheetId="100" r:id="rId24"/>
    <sheet name="DETALLE CGR" sheetId="110" r:id="rId25"/>
    <sheet name="CONTROL PM" sheetId="140" state="hidden" r:id="rId26"/>
    <sheet name="Cronógrama" sheetId="17" state="hidden" r:id="rId27"/>
    <sheet name="Cronógrama nov.2019" sheetId="32" state="hidden" r:id="rId28"/>
  </sheets>
  <externalReferences>
    <externalReference r:id="rId29"/>
    <externalReference r:id="rId30"/>
    <externalReference r:id="rId31"/>
    <externalReference r:id="rId32"/>
  </externalReferences>
  <definedNames>
    <definedName name="_xlnm._FilterDatabase" localSheetId="12" hidden="1">'BIENESTAR UNIVERSITARIO'!$A$6:$AD$6</definedName>
    <definedName name="_xlnm._FilterDatabase" localSheetId="20" hidden="1">'CGR 2019'!$A$3:$AB$3</definedName>
    <definedName name="_xlnm._FilterDatabase" localSheetId="21" hidden="1">'CGR 2020'!$A$3:$Z$34</definedName>
    <definedName name="_xlnm._FilterDatabase" localSheetId="22" hidden="1">'CGR 2021'!$A$3:$Y$3</definedName>
    <definedName name="_xlnm._FilterDatabase" localSheetId="9" hidden="1">CIC!$A$6:$N$7</definedName>
    <definedName name="_xlnm._FilterDatabase" localSheetId="13" hidden="1">ESTAMPILLA!$A$6:$N$7</definedName>
    <definedName name="_xlnm._FilterDatabase" localSheetId="15" hidden="1">'GESTIÓN AMBIENTAL'!$A$6:$AD$6</definedName>
    <definedName name="_xlnm._FilterDatabase" localSheetId="11" hidden="1">'LEGALIZACION AVANCES'!$A$6:$N$7</definedName>
    <definedName name="_xlnm._FilterDatabase" localSheetId="10" hidden="1">'MATRICULA FINANCIERA'!$A$6:$N$7</definedName>
    <definedName name="_xlnm._FilterDatabase" localSheetId="7" hidden="1">SGSST!$A$6:$AD$6</definedName>
    <definedName name="_xlnm._FilterDatabase" localSheetId="6" hidden="1">'TALENTO HUMANO DIV.'!$A$6:$AD$6</definedName>
    <definedName name="_xlnm._FilterDatabase" localSheetId="23" hidden="1">'DETALLE INTERNOS'!$A$1:$Q$3</definedName>
    <definedName name="_xlnm._FilterDatabase" localSheetId="0" hidden="1">POSGRADOS!$A$6:$AD$6</definedName>
    <definedName name="_xlnm._FilterDatabase" localSheetId="8" hidden="1">MANTENIMIENTO!$A$6:$AD$6</definedName>
    <definedName name="Calidad_Académica">[1]Datos!$D$8:$D$19</definedName>
    <definedName name="Fuente">[2]Datos!$C$6:$C$10</definedName>
    <definedName name="UnidaddeMedida" localSheetId="9">[3]Hoja2!$A$3:$A$11</definedName>
    <definedName name="UnidaddeMedida" localSheetId="13">[3]Hoja2!$A$3:$A$11</definedName>
    <definedName name="UnidaddeMedida" localSheetId="11">[3]Hoja2!$A$3:$A$11</definedName>
    <definedName name="UnidaddeMedida" localSheetId="8">[3]Hoja2!$A$3:$A$11</definedName>
    <definedName name="UnidaddeMedida" localSheetId="10">[3]Hoja2!$A$3:$A$11</definedName>
    <definedName name="UnidaddeMedida">[4]Hoja2!$A$3:$A$11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C10" i="141" l="1"/>
  <c r="AC11" i="141"/>
  <c r="AC12" i="141"/>
  <c r="Z10" i="141"/>
  <c r="Z11" i="141"/>
  <c r="Z12" i="141"/>
  <c r="U10" i="141"/>
  <c r="V10" i="141"/>
  <c r="W10" i="141"/>
  <c r="U11" i="141"/>
  <c r="V11" i="141"/>
  <c r="W11" i="141"/>
  <c r="U12" i="141"/>
  <c r="V12" i="141"/>
  <c r="W12" i="141"/>
  <c r="S10" i="141"/>
  <c r="S11" i="141"/>
  <c r="S12" i="141"/>
  <c r="R10" i="141"/>
  <c r="R11" i="141"/>
  <c r="R12" i="141"/>
  <c r="O10" i="141"/>
  <c r="O11" i="141"/>
  <c r="O12" i="141"/>
  <c r="I4" i="141"/>
  <c r="W8" i="135"/>
  <c r="I10" i="100"/>
  <c r="J10" i="100"/>
  <c r="D4" i="100"/>
  <c r="E4" i="100"/>
  <c r="C33" i="100"/>
  <c r="F4" i="100"/>
  <c r="J6" i="100"/>
  <c r="J7" i="100"/>
  <c r="J8" i="100"/>
  <c r="J9" i="100"/>
  <c r="Z7" i="136"/>
  <c r="AC8" i="136"/>
  <c r="AC9" i="136"/>
  <c r="O9" i="100"/>
  <c r="V9" i="101"/>
  <c r="W9" i="101"/>
  <c r="Z14" i="101"/>
  <c r="U17" i="104"/>
  <c r="P27" i="100"/>
  <c r="AC15" i="101"/>
  <c r="H28" i="141"/>
  <c r="O7" i="141"/>
  <c r="O8" i="141"/>
  <c r="R8" i="141"/>
  <c r="S8" i="141"/>
  <c r="U8" i="141"/>
  <c r="V8" i="141"/>
  <c r="W8" i="141"/>
  <c r="Z8" i="141"/>
  <c r="AC8" i="141"/>
  <c r="O9" i="141"/>
  <c r="R9" i="141"/>
  <c r="S9" i="141"/>
  <c r="U9" i="141"/>
  <c r="V9" i="141"/>
  <c r="W9" i="141"/>
  <c r="Z9" i="141"/>
  <c r="AC9" i="141"/>
  <c r="O13" i="141"/>
  <c r="R13" i="141"/>
  <c r="S13" i="141"/>
  <c r="U13" i="141"/>
  <c r="V13" i="141"/>
  <c r="W13" i="141"/>
  <c r="Z13" i="141"/>
  <c r="AC13" i="141"/>
  <c r="O14" i="141"/>
  <c r="R14" i="141"/>
  <c r="S14" i="141"/>
  <c r="U14" i="141"/>
  <c r="V14" i="141"/>
  <c r="W14" i="141"/>
  <c r="Z14" i="141"/>
  <c r="AC14" i="141"/>
  <c r="O15" i="141"/>
  <c r="R15" i="141"/>
  <c r="S15" i="141"/>
  <c r="U15" i="141"/>
  <c r="V15" i="141"/>
  <c r="W15" i="141"/>
  <c r="Z15" i="141"/>
  <c r="AC15" i="141"/>
  <c r="O16" i="141"/>
  <c r="R16" i="141"/>
  <c r="S16" i="141"/>
  <c r="U16" i="141"/>
  <c r="V16" i="141"/>
  <c r="W16" i="141"/>
  <c r="Z16" i="141"/>
  <c r="AC16" i="141"/>
  <c r="O17" i="141"/>
  <c r="R17" i="141"/>
  <c r="S17" i="141"/>
  <c r="U17" i="141"/>
  <c r="V17" i="141"/>
  <c r="W17" i="141"/>
  <c r="Z17" i="141"/>
  <c r="AC17" i="141"/>
  <c r="O18" i="141"/>
  <c r="R18" i="141"/>
  <c r="S18" i="141"/>
  <c r="U18" i="141"/>
  <c r="V18" i="141"/>
  <c r="W18" i="141"/>
  <c r="Z18" i="141"/>
  <c r="AC18" i="141"/>
  <c r="O19" i="141"/>
  <c r="R19" i="141"/>
  <c r="S19" i="141"/>
  <c r="U19" i="141"/>
  <c r="V19" i="141"/>
  <c r="W19" i="141"/>
  <c r="Z19" i="141"/>
  <c r="AC19" i="141"/>
  <c r="O20" i="141"/>
  <c r="R20" i="141"/>
  <c r="S20" i="141"/>
  <c r="U20" i="141"/>
  <c r="V20" i="141"/>
  <c r="W20" i="141"/>
  <c r="Z20" i="141"/>
  <c r="AC20" i="141"/>
  <c r="O21" i="141"/>
  <c r="R21" i="141"/>
  <c r="S21" i="141"/>
  <c r="U21" i="141"/>
  <c r="V21" i="141"/>
  <c r="W21" i="141"/>
  <c r="Z21" i="141"/>
  <c r="AC21" i="141"/>
  <c r="O22" i="141"/>
  <c r="R22" i="141"/>
  <c r="S22" i="141"/>
  <c r="U22" i="141"/>
  <c r="V22" i="141"/>
  <c r="W22" i="141"/>
  <c r="Z22" i="141"/>
  <c r="AC22" i="141"/>
  <c r="O23" i="141"/>
  <c r="R23" i="141"/>
  <c r="S23" i="141"/>
  <c r="U23" i="141"/>
  <c r="V23" i="141"/>
  <c r="W23" i="141"/>
  <c r="Z23" i="141"/>
  <c r="AC23" i="141"/>
  <c r="O24" i="141"/>
  <c r="R24" i="141"/>
  <c r="S24" i="141"/>
  <c r="U24" i="141"/>
  <c r="V24" i="141"/>
  <c r="W24" i="141"/>
  <c r="Z24" i="141"/>
  <c r="AC24" i="141"/>
  <c r="O25" i="141"/>
  <c r="R25" i="141"/>
  <c r="S25" i="141"/>
  <c r="U25" i="141"/>
  <c r="V25" i="141"/>
  <c r="W25" i="141"/>
  <c r="Z25" i="141"/>
  <c r="AC25" i="141"/>
  <c r="O26" i="141"/>
  <c r="R26" i="141"/>
  <c r="S26" i="141"/>
  <c r="U26" i="141"/>
  <c r="V26" i="141"/>
  <c r="W26" i="141"/>
  <c r="Z26" i="141"/>
  <c r="AC26" i="141"/>
  <c r="O27" i="141"/>
  <c r="R27" i="141"/>
  <c r="S27" i="141"/>
  <c r="U27" i="141"/>
  <c r="V27" i="141"/>
  <c r="W27" i="141"/>
  <c r="Z27" i="141"/>
  <c r="AC27" i="141"/>
  <c r="T28" i="141"/>
  <c r="U7" i="141"/>
  <c r="S7" i="141"/>
  <c r="C34" i="100"/>
  <c r="C35" i="100"/>
  <c r="Q6" i="100"/>
  <c r="P6" i="100"/>
  <c r="O5" i="100"/>
  <c r="G5" i="100"/>
  <c r="F5" i="100"/>
  <c r="E5" i="100"/>
  <c r="D5" i="100"/>
  <c r="H4" i="100"/>
  <c r="D22" i="100"/>
  <c r="D21" i="100"/>
  <c r="D20" i="100"/>
  <c r="D19" i="100"/>
  <c r="D18" i="100"/>
  <c r="D17" i="100"/>
  <c r="D16" i="100"/>
  <c r="D15" i="100"/>
  <c r="D14" i="100"/>
  <c r="D13" i="100"/>
  <c r="D12" i="100"/>
  <c r="D11" i="100"/>
  <c r="D9" i="100"/>
  <c r="D8" i="100"/>
  <c r="D7" i="100"/>
  <c r="D6" i="100"/>
  <c r="I4" i="100"/>
  <c r="O4" i="100"/>
  <c r="P4" i="100"/>
  <c r="Q4" i="100"/>
  <c r="I19" i="100"/>
  <c r="Q15" i="116"/>
  <c r="W7" i="135"/>
  <c r="S7" i="135"/>
  <c r="S7" i="105"/>
  <c r="U21" i="138"/>
  <c r="Q16" i="127"/>
  <c r="AC7" i="104"/>
  <c r="J29" i="140"/>
  <c r="K19" i="140"/>
  <c r="F2" i="140"/>
  <c r="W7" i="141"/>
  <c r="R7" i="141"/>
  <c r="V7" i="141"/>
  <c r="U28" i="141"/>
  <c r="Z7" i="141"/>
  <c r="AC7" i="141"/>
  <c r="AC28" i="141"/>
  <c r="H18" i="140"/>
  <c r="G18" i="140"/>
  <c r="H16" i="140"/>
  <c r="G16" i="140"/>
  <c r="O9" i="101"/>
  <c r="R9" i="101"/>
  <c r="O10" i="101"/>
  <c r="R10" i="101"/>
  <c r="V10" i="101"/>
  <c r="U10" i="107"/>
  <c r="O10" i="107"/>
  <c r="R10" i="107"/>
  <c r="V10" i="107"/>
  <c r="U7" i="136"/>
  <c r="H22" i="100"/>
  <c r="U10" i="136"/>
  <c r="U11" i="136"/>
  <c r="U12" i="136"/>
  <c r="U13" i="136"/>
  <c r="U14" i="136"/>
  <c r="U15" i="136"/>
  <c r="U7" i="138"/>
  <c r="U8" i="138"/>
  <c r="U9" i="138"/>
  <c r="U10" i="138"/>
  <c r="U11" i="138"/>
  <c r="U12" i="138"/>
  <c r="U13" i="138"/>
  <c r="U14" i="138"/>
  <c r="U15" i="138"/>
  <c r="U16" i="138"/>
  <c r="U17" i="138"/>
  <c r="U18" i="138"/>
  <c r="U19" i="138"/>
  <c r="U20" i="138"/>
  <c r="U7" i="139"/>
  <c r="U8" i="139"/>
  <c r="U9" i="139"/>
  <c r="U10" i="139"/>
  <c r="U11" i="139"/>
  <c r="U12" i="139"/>
  <c r="U13" i="139"/>
  <c r="U14" i="139"/>
  <c r="U7" i="107"/>
  <c r="U8" i="107"/>
  <c r="U9" i="107"/>
  <c r="U7" i="135"/>
  <c r="U8" i="135"/>
  <c r="U9" i="135"/>
  <c r="U10" i="135"/>
  <c r="U11" i="135"/>
  <c r="U12" i="135"/>
  <c r="U13" i="135"/>
  <c r="U14" i="135"/>
  <c r="U15" i="135"/>
  <c r="U16" i="135"/>
  <c r="U17" i="135"/>
  <c r="U18" i="135"/>
  <c r="U19" i="135"/>
  <c r="U20" i="135"/>
  <c r="U21" i="135"/>
  <c r="U22" i="135"/>
  <c r="U23" i="135"/>
  <c r="U24" i="135"/>
  <c r="U25" i="135"/>
  <c r="U26" i="135"/>
  <c r="U27" i="135"/>
  <c r="U7" i="106"/>
  <c r="H15" i="100"/>
  <c r="U8" i="106"/>
  <c r="U9" i="106"/>
  <c r="U10" i="106"/>
  <c r="U11" i="106"/>
  <c r="U12" i="106"/>
  <c r="U7" i="132"/>
  <c r="U8" i="132"/>
  <c r="U9" i="132"/>
  <c r="U10" i="132"/>
  <c r="U11" i="132"/>
  <c r="U12" i="132"/>
  <c r="U13" i="132"/>
  <c r="U14" i="132"/>
  <c r="U15" i="132"/>
  <c r="U16" i="132"/>
  <c r="U17" i="132"/>
  <c r="U18" i="132"/>
  <c r="U19" i="132"/>
  <c r="U20" i="132"/>
  <c r="U21" i="132"/>
  <c r="U22" i="132"/>
  <c r="U23" i="132"/>
  <c r="U25" i="132"/>
  <c r="U28" i="132"/>
  <c r="U7" i="104"/>
  <c r="E16" i="100"/>
  <c r="F16" i="100"/>
  <c r="U8" i="104"/>
  <c r="U9" i="104"/>
  <c r="Q16" i="100"/>
  <c r="U13" i="104"/>
  <c r="U14" i="104"/>
  <c r="U15" i="104"/>
  <c r="U7" i="130"/>
  <c r="U8" i="130"/>
  <c r="U9" i="130"/>
  <c r="U10" i="130"/>
  <c r="U11" i="130"/>
  <c r="U31" i="137"/>
  <c r="U7" i="129"/>
  <c r="U8" i="129"/>
  <c r="U9" i="129"/>
  <c r="U10" i="129"/>
  <c r="U11" i="129"/>
  <c r="U12" i="129"/>
  <c r="U13" i="129"/>
  <c r="U7" i="126"/>
  <c r="U8" i="126"/>
  <c r="U9" i="126"/>
  <c r="U10" i="126"/>
  <c r="U11" i="126"/>
  <c r="U12" i="126"/>
  <c r="U13" i="126"/>
  <c r="U7" i="131"/>
  <c r="U8" i="131"/>
  <c r="U9" i="131"/>
  <c r="U10" i="131"/>
  <c r="U11" i="131"/>
  <c r="U12" i="131"/>
  <c r="U13" i="131"/>
  <c r="U14" i="131"/>
  <c r="U15" i="131"/>
  <c r="U16" i="131"/>
  <c r="U17" i="131"/>
  <c r="U18" i="131"/>
  <c r="U19" i="131"/>
  <c r="U20" i="131"/>
  <c r="U21" i="131"/>
  <c r="U22" i="131"/>
  <c r="U23" i="131"/>
  <c r="U24" i="131"/>
  <c r="U25" i="131"/>
  <c r="U26" i="131"/>
  <c r="U27" i="131"/>
  <c r="U28" i="131"/>
  <c r="U29" i="131"/>
  <c r="U30" i="131"/>
  <c r="U31" i="131"/>
  <c r="U7" i="127"/>
  <c r="U8" i="127"/>
  <c r="U9" i="127"/>
  <c r="U10" i="127"/>
  <c r="U11" i="127"/>
  <c r="U12" i="127"/>
  <c r="U13" i="127"/>
  <c r="U14" i="127"/>
  <c r="U15" i="127"/>
  <c r="U16" i="127"/>
  <c r="U17" i="127"/>
  <c r="U18" i="127"/>
  <c r="U19" i="127"/>
  <c r="U20" i="127"/>
  <c r="U21" i="127"/>
  <c r="U22" i="127"/>
  <c r="U23" i="127"/>
  <c r="U24" i="127"/>
  <c r="U25" i="127"/>
  <c r="U26" i="127"/>
  <c r="U27" i="127"/>
  <c r="U28" i="127"/>
  <c r="U7" i="128"/>
  <c r="U8" i="128"/>
  <c r="U9" i="128"/>
  <c r="U10" i="128"/>
  <c r="U11" i="128"/>
  <c r="U12" i="128"/>
  <c r="U13" i="128"/>
  <c r="U14" i="128"/>
  <c r="U15" i="128"/>
  <c r="U16" i="128"/>
  <c r="U17" i="128"/>
  <c r="U18" i="128"/>
  <c r="U19" i="128"/>
  <c r="U20" i="128"/>
  <c r="U21" i="128"/>
  <c r="U22" i="128"/>
  <c r="U23" i="128"/>
  <c r="U24" i="128"/>
  <c r="U25" i="128"/>
  <c r="U7" i="105"/>
  <c r="U8" i="105"/>
  <c r="U9" i="105"/>
  <c r="U10" i="105"/>
  <c r="U11" i="105"/>
  <c r="U12" i="105"/>
  <c r="U13" i="105"/>
  <c r="U14" i="105"/>
  <c r="U15" i="105"/>
  <c r="U16" i="105"/>
  <c r="U17" i="105"/>
  <c r="U18" i="105"/>
  <c r="U19" i="105"/>
  <c r="U7" i="125"/>
  <c r="U9" i="125"/>
  <c r="U10" i="125"/>
  <c r="U11" i="125"/>
  <c r="U12" i="125"/>
  <c r="U13" i="125"/>
  <c r="U14" i="125"/>
  <c r="U15" i="125"/>
  <c r="U16" i="125"/>
  <c r="U17" i="125"/>
  <c r="P21" i="100"/>
  <c r="Q21" i="100"/>
  <c r="U16" i="104"/>
  <c r="U7" i="133"/>
  <c r="U8" i="133"/>
  <c r="U9" i="133"/>
  <c r="U10" i="133"/>
  <c r="U11" i="133"/>
  <c r="U12" i="133"/>
  <c r="U13" i="133"/>
  <c r="U14" i="133"/>
  <c r="U15" i="133"/>
  <c r="U16" i="133"/>
  <c r="U17" i="133"/>
  <c r="U18" i="133"/>
  <c r="U19" i="133"/>
  <c r="U20" i="133"/>
  <c r="U21" i="133"/>
  <c r="U22" i="133"/>
  <c r="U23" i="133"/>
  <c r="U24" i="133"/>
  <c r="U25" i="133"/>
  <c r="U26" i="133"/>
  <c r="U27" i="133"/>
  <c r="U28" i="133"/>
  <c r="U29" i="133"/>
  <c r="P14" i="100"/>
  <c r="Q14" i="100"/>
  <c r="U35" i="116"/>
  <c r="U36" i="116"/>
  <c r="U37" i="116"/>
  <c r="U38" i="116"/>
  <c r="U39" i="116"/>
  <c r="U4" i="116"/>
  <c r="U5" i="116"/>
  <c r="U6" i="116"/>
  <c r="U7" i="116"/>
  <c r="U8" i="116"/>
  <c r="U9" i="116"/>
  <c r="U10" i="116"/>
  <c r="U11" i="116"/>
  <c r="U12" i="116"/>
  <c r="U13" i="116"/>
  <c r="U14" i="116"/>
  <c r="U15" i="116"/>
  <c r="U16" i="116"/>
  <c r="U17" i="116"/>
  <c r="U18" i="116"/>
  <c r="U19" i="116"/>
  <c r="U20" i="116"/>
  <c r="U21" i="116"/>
  <c r="U22" i="116"/>
  <c r="U23" i="116"/>
  <c r="U24" i="116"/>
  <c r="U25" i="116"/>
  <c r="U26" i="116"/>
  <c r="U27" i="116"/>
  <c r="U28" i="116"/>
  <c r="U29" i="116"/>
  <c r="U30" i="116"/>
  <c r="U31" i="116"/>
  <c r="U32" i="116"/>
  <c r="U33" i="116"/>
  <c r="U34" i="116"/>
  <c r="Q8" i="136"/>
  <c r="R8" i="136"/>
  <c r="V8" i="136"/>
  <c r="O8" i="136"/>
  <c r="Q9" i="136"/>
  <c r="R9" i="136"/>
  <c r="V9" i="136"/>
  <c r="Z9" i="136"/>
  <c r="O9" i="136"/>
  <c r="Q4" i="116"/>
  <c r="Q5" i="116"/>
  <c r="Q6" i="116"/>
  <c r="Q7" i="116"/>
  <c r="Q8" i="116"/>
  <c r="Q9" i="116"/>
  <c r="Q10" i="116"/>
  <c r="Q11" i="116"/>
  <c r="Q12" i="116"/>
  <c r="Q13" i="116"/>
  <c r="Q16" i="116"/>
  <c r="Q17" i="116"/>
  <c r="Q18" i="116"/>
  <c r="Q19" i="116"/>
  <c r="Q20" i="116"/>
  <c r="Q21" i="116"/>
  <c r="Q22" i="116"/>
  <c r="Q23" i="116"/>
  <c r="Q24" i="116"/>
  <c r="Q25" i="116"/>
  <c r="Q26" i="116"/>
  <c r="Q27" i="116"/>
  <c r="Q28" i="116"/>
  <c r="Q29" i="116"/>
  <c r="Q30" i="116"/>
  <c r="Q31" i="116"/>
  <c r="Q32" i="116"/>
  <c r="Q33" i="116"/>
  <c r="Q34" i="116"/>
  <c r="Q35" i="116"/>
  <c r="Q36" i="116"/>
  <c r="Q37" i="116"/>
  <c r="Q38" i="116"/>
  <c r="Q39" i="116"/>
  <c r="Q4" i="113"/>
  <c r="Q5" i="113"/>
  <c r="Q6" i="113"/>
  <c r="Q7" i="113"/>
  <c r="Q8" i="113"/>
  <c r="Q9" i="113"/>
  <c r="Q10" i="113"/>
  <c r="Q11" i="113"/>
  <c r="Q12" i="113"/>
  <c r="Q13" i="113"/>
  <c r="Q14" i="113"/>
  <c r="Q15" i="113"/>
  <c r="Q16" i="113"/>
  <c r="Q17" i="113"/>
  <c r="Q18" i="113"/>
  <c r="Q19" i="113"/>
  <c r="Q20" i="113"/>
  <c r="Q21" i="113"/>
  <c r="Q22" i="113"/>
  <c r="Q23" i="113"/>
  <c r="Q24" i="113"/>
  <c r="Q25" i="113"/>
  <c r="Q26" i="113"/>
  <c r="Q27" i="113"/>
  <c r="Q28" i="113"/>
  <c r="Q29" i="113"/>
  <c r="Q30" i="113"/>
  <c r="Q31" i="113"/>
  <c r="Q32" i="113"/>
  <c r="Q33" i="113"/>
  <c r="Q4" i="112"/>
  <c r="Q5" i="112"/>
  <c r="Q6" i="112"/>
  <c r="Q7" i="112"/>
  <c r="Q8" i="112"/>
  <c r="Q9" i="112"/>
  <c r="Q10" i="112"/>
  <c r="Q11" i="112"/>
  <c r="Q12" i="112"/>
  <c r="Q13" i="112"/>
  <c r="Q14" i="112"/>
  <c r="Q15" i="112"/>
  <c r="Q16" i="112"/>
  <c r="Q17" i="112"/>
  <c r="Q18" i="112"/>
  <c r="Q19" i="112"/>
  <c r="Q20" i="112"/>
  <c r="Q21" i="112"/>
  <c r="Q22" i="112"/>
  <c r="Q23" i="112"/>
  <c r="Q24" i="112"/>
  <c r="Q25" i="112"/>
  <c r="Q26" i="112"/>
  <c r="Q27" i="112"/>
  <c r="Q28" i="112"/>
  <c r="E3" i="110"/>
  <c r="Q29" i="112"/>
  <c r="O13" i="139"/>
  <c r="R13" i="139"/>
  <c r="V13" i="139"/>
  <c r="Z13" i="139"/>
  <c r="AC13" i="139"/>
  <c r="AC15" i="139"/>
  <c r="Z8" i="137"/>
  <c r="AC8" i="137"/>
  <c r="Z9" i="137"/>
  <c r="AC9" i="137"/>
  <c r="Z10" i="137"/>
  <c r="AC10" i="137"/>
  <c r="Z11" i="137"/>
  <c r="AC11" i="137"/>
  <c r="Z12" i="137"/>
  <c r="AC12" i="137"/>
  <c r="Z13" i="137"/>
  <c r="AC13" i="137"/>
  <c r="Z14" i="137"/>
  <c r="AC14" i="137"/>
  <c r="Z15" i="137"/>
  <c r="AC15" i="137"/>
  <c r="Z16" i="137"/>
  <c r="AC16" i="137"/>
  <c r="Z17" i="137"/>
  <c r="AC17" i="137"/>
  <c r="Z18" i="137"/>
  <c r="AC18" i="137"/>
  <c r="Z19" i="137"/>
  <c r="AC19" i="137"/>
  <c r="Z20" i="137"/>
  <c r="AC20" i="137"/>
  <c r="Z21" i="137"/>
  <c r="AC21" i="137"/>
  <c r="Z22" i="137"/>
  <c r="AC22" i="137"/>
  <c r="Z23" i="137"/>
  <c r="AC23" i="137"/>
  <c r="Z24" i="137"/>
  <c r="AC24" i="137"/>
  <c r="Z25" i="137"/>
  <c r="AC25" i="137"/>
  <c r="Z26" i="137"/>
  <c r="AC26" i="137"/>
  <c r="Z27" i="137"/>
  <c r="AC27" i="137"/>
  <c r="Z29" i="137"/>
  <c r="AC29" i="137"/>
  <c r="Z30" i="137"/>
  <c r="AC30" i="137"/>
  <c r="Z7" i="137"/>
  <c r="AC7" i="137"/>
  <c r="Z28" i="137"/>
  <c r="AC28" i="137"/>
  <c r="O7" i="104"/>
  <c r="R7" i="104"/>
  <c r="V7" i="104"/>
  <c r="O14" i="104"/>
  <c r="R14" i="104"/>
  <c r="V14" i="104"/>
  <c r="Z14" i="104"/>
  <c r="AC14" i="104"/>
  <c r="O18" i="105"/>
  <c r="R18" i="105"/>
  <c r="V18" i="105"/>
  <c r="Z18" i="105"/>
  <c r="AC18" i="105"/>
  <c r="O15" i="105"/>
  <c r="R15" i="105"/>
  <c r="V15" i="105"/>
  <c r="Z15" i="105"/>
  <c r="AC15" i="105"/>
  <c r="Q11" i="131"/>
  <c r="W11" i="131"/>
  <c r="Q8" i="131"/>
  <c r="W8" i="131"/>
  <c r="O13" i="138"/>
  <c r="Q9" i="138"/>
  <c r="Q10" i="138"/>
  <c r="Q11" i="138"/>
  <c r="Q12" i="138"/>
  <c r="Q13" i="138"/>
  <c r="R13" i="138"/>
  <c r="Q14" i="138"/>
  <c r="R14" i="138"/>
  <c r="V14" i="138"/>
  <c r="Z14" i="138"/>
  <c r="Q15" i="138"/>
  <c r="W15" i="138"/>
  <c r="Q16" i="138"/>
  <c r="Q17" i="138"/>
  <c r="Q18" i="138"/>
  <c r="W18" i="138"/>
  <c r="Q19" i="138"/>
  <c r="W19" i="138"/>
  <c r="Q20" i="138"/>
  <c r="N26" i="112"/>
  <c r="U26" i="112"/>
  <c r="N27" i="116"/>
  <c r="N26" i="116"/>
  <c r="N25" i="116"/>
  <c r="N32" i="113"/>
  <c r="N27" i="113"/>
  <c r="N28" i="113"/>
  <c r="N29" i="113"/>
  <c r="N30" i="113"/>
  <c r="N31" i="113"/>
  <c r="N33" i="113"/>
  <c r="W16" i="127"/>
  <c r="W17" i="127"/>
  <c r="Q18" i="127"/>
  <c r="W18" i="127"/>
  <c r="W19" i="127"/>
  <c r="W20" i="127"/>
  <c r="W21" i="127"/>
  <c r="Q22" i="127"/>
  <c r="W22" i="127"/>
  <c r="Q23" i="127"/>
  <c r="W23" i="127"/>
  <c r="W24" i="127"/>
  <c r="W25" i="127"/>
  <c r="Q26" i="127"/>
  <c r="W26" i="127"/>
  <c r="Q27" i="127"/>
  <c r="W27" i="127"/>
  <c r="Q28" i="127"/>
  <c r="W28" i="127"/>
  <c r="E22" i="100"/>
  <c r="F22" i="100"/>
  <c r="W16" i="105"/>
  <c r="W15" i="105"/>
  <c r="W11" i="105"/>
  <c r="W8" i="105"/>
  <c r="W7" i="105"/>
  <c r="W9" i="105"/>
  <c r="W10" i="105"/>
  <c r="W12" i="105"/>
  <c r="W13" i="105"/>
  <c r="W14" i="105"/>
  <c r="W17" i="105"/>
  <c r="W18" i="105"/>
  <c r="W19" i="105"/>
  <c r="U4" i="113"/>
  <c r="U5" i="113"/>
  <c r="U6" i="113"/>
  <c r="U7" i="113"/>
  <c r="U8" i="113"/>
  <c r="U9" i="113"/>
  <c r="U10" i="113"/>
  <c r="U11" i="113"/>
  <c r="U12" i="113"/>
  <c r="U13" i="113"/>
  <c r="U14" i="113"/>
  <c r="U15" i="113"/>
  <c r="U16" i="113"/>
  <c r="U17" i="113"/>
  <c r="U18" i="113"/>
  <c r="U19" i="113"/>
  <c r="U20" i="113"/>
  <c r="U21" i="113"/>
  <c r="U22" i="113"/>
  <c r="U23" i="113"/>
  <c r="U24" i="113"/>
  <c r="U25" i="113"/>
  <c r="U26" i="113"/>
  <c r="U27" i="113"/>
  <c r="U28" i="113"/>
  <c r="U29" i="113"/>
  <c r="U30" i="113"/>
  <c r="U31" i="113"/>
  <c r="U32" i="113"/>
  <c r="U33" i="113"/>
  <c r="W8" i="101"/>
  <c r="W10" i="101"/>
  <c r="W11" i="101"/>
  <c r="W12" i="101"/>
  <c r="W13" i="101"/>
  <c r="W14" i="101"/>
  <c r="W15" i="101"/>
  <c r="W16" i="101"/>
  <c r="W17" i="101"/>
  <c r="W18" i="101"/>
  <c r="W19" i="101"/>
  <c r="W20" i="101"/>
  <c r="W21" i="101"/>
  <c r="W22" i="101"/>
  <c r="W23" i="101"/>
  <c r="W24" i="101"/>
  <c r="W25" i="101"/>
  <c r="W26" i="101"/>
  <c r="W27" i="101"/>
  <c r="W28" i="101"/>
  <c r="W29" i="101"/>
  <c r="W30" i="101"/>
  <c r="W7" i="107"/>
  <c r="W8" i="107"/>
  <c r="W9" i="107"/>
  <c r="W10" i="107"/>
  <c r="W7" i="106"/>
  <c r="W8" i="106"/>
  <c r="W9" i="106"/>
  <c r="W10" i="106"/>
  <c r="W11" i="106"/>
  <c r="W12" i="106"/>
  <c r="W7" i="125"/>
  <c r="W8" i="125"/>
  <c r="W9" i="125"/>
  <c r="W10" i="125"/>
  <c r="W11" i="125"/>
  <c r="W12" i="125"/>
  <c r="W13" i="125"/>
  <c r="W14" i="125"/>
  <c r="W15" i="125"/>
  <c r="W16" i="125"/>
  <c r="W17" i="125"/>
  <c r="W7" i="126"/>
  <c r="W8" i="126"/>
  <c r="W9" i="126"/>
  <c r="W10" i="126"/>
  <c r="I5" i="100"/>
  <c r="W11" i="126"/>
  <c r="W12" i="126"/>
  <c r="W13" i="126"/>
  <c r="W7" i="128"/>
  <c r="W8" i="128"/>
  <c r="W9" i="128"/>
  <c r="W10" i="128"/>
  <c r="W11" i="128"/>
  <c r="W12" i="128"/>
  <c r="W13" i="128"/>
  <c r="W14" i="128"/>
  <c r="W15" i="128"/>
  <c r="W16" i="128"/>
  <c r="W17" i="128"/>
  <c r="W18" i="128"/>
  <c r="W19" i="128"/>
  <c r="W20" i="128"/>
  <c r="W21" i="128"/>
  <c r="W22" i="128"/>
  <c r="W23" i="128"/>
  <c r="W24" i="128"/>
  <c r="W25" i="128"/>
  <c r="W7" i="129"/>
  <c r="W8" i="129"/>
  <c r="W9" i="129"/>
  <c r="W10" i="129"/>
  <c r="W11" i="129"/>
  <c r="W12" i="129"/>
  <c r="W13" i="129"/>
  <c r="W7" i="130"/>
  <c r="I8" i="100"/>
  <c r="W8" i="130"/>
  <c r="W9" i="130"/>
  <c r="W10" i="130"/>
  <c r="W11" i="130"/>
  <c r="W7" i="132"/>
  <c r="W8" i="132"/>
  <c r="W9" i="132"/>
  <c r="W10" i="132"/>
  <c r="W11" i="132"/>
  <c r="W12" i="132"/>
  <c r="W13" i="132"/>
  <c r="W14" i="132"/>
  <c r="W15" i="132"/>
  <c r="W16" i="132"/>
  <c r="W17" i="132"/>
  <c r="W18" i="132"/>
  <c r="W19" i="132"/>
  <c r="W20" i="132"/>
  <c r="W21" i="132"/>
  <c r="W22" i="132"/>
  <c r="W23" i="132"/>
  <c r="W25" i="132"/>
  <c r="W28" i="132"/>
  <c r="W7" i="133"/>
  <c r="W8" i="133"/>
  <c r="W9" i="133"/>
  <c r="W10" i="133"/>
  <c r="W11" i="133"/>
  <c r="W12" i="133"/>
  <c r="W13" i="133"/>
  <c r="W14" i="133"/>
  <c r="W15" i="133"/>
  <c r="W16" i="133"/>
  <c r="W17" i="133"/>
  <c r="W18" i="133"/>
  <c r="W19" i="133"/>
  <c r="W20" i="133"/>
  <c r="W21" i="133"/>
  <c r="W22" i="133"/>
  <c r="W23" i="133"/>
  <c r="W24" i="133"/>
  <c r="W25" i="133"/>
  <c r="W26" i="133"/>
  <c r="W27" i="133"/>
  <c r="W28" i="133"/>
  <c r="W29" i="133"/>
  <c r="W9" i="135"/>
  <c r="W10" i="135"/>
  <c r="W11" i="135"/>
  <c r="W12" i="135"/>
  <c r="W13" i="135"/>
  <c r="W14" i="135"/>
  <c r="W15" i="135"/>
  <c r="W16" i="135"/>
  <c r="W17" i="135"/>
  <c r="W18" i="135"/>
  <c r="W19" i="135"/>
  <c r="W20" i="135"/>
  <c r="W21" i="135"/>
  <c r="W22" i="135"/>
  <c r="W23" i="135"/>
  <c r="W24" i="135"/>
  <c r="W25" i="135"/>
  <c r="W26" i="135"/>
  <c r="W27" i="135"/>
  <c r="W7" i="131"/>
  <c r="Q9" i="131"/>
  <c r="W9" i="131"/>
  <c r="Q10" i="131"/>
  <c r="W10" i="131"/>
  <c r="Q12" i="131"/>
  <c r="W12" i="131"/>
  <c r="Q13" i="131"/>
  <c r="R13" i="131"/>
  <c r="V13" i="131"/>
  <c r="Z13" i="131"/>
  <c r="AC13" i="131"/>
  <c r="Q14" i="131"/>
  <c r="W14" i="131"/>
  <c r="Q15" i="131"/>
  <c r="W16" i="131"/>
  <c r="W17" i="131"/>
  <c r="W18" i="131"/>
  <c r="Q19" i="131"/>
  <c r="R19" i="131"/>
  <c r="V19" i="131"/>
  <c r="Z19" i="131"/>
  <c r="AC19" i="131"/>
  <c r="Q20" i="131"/>
  <c r="W20" i="131"/>
  <c r="Q21" i="131"/>
  <c r="Q22" i="131"/>
  <c r="W22" i="131"/>
  <c r="Q23" i="131"/>
  <c r="W23" i="131"/>
  <c r="Q24" i="131"/>
  <c r="W24" i="131"/>
  <c r="W25" i="131"/>
  <c r="Q26" i="131"/>
  <c r="W26" i="131"/>
  <c r="Q27" i="131"/>
  <c r="W27" i="131"/>
  <c r="Q28" i="131"/>
  <c r="W28" i="131"/>
  <c r="W29" i="131"/>
  <c r="Q30" i="131"/>
  <c r="W30" i="131"/>
  <c r="Q31" i="131"/>
  <c r="W31" i="131"/>
  <c r="W7" i="104"/>
  <c r="W8" i="104"/>
  <c r="W9" i="104"/>
  <c r="W13" i="104"/>
  <c r="W14" i="104"/>
  <c r="W15" i="104"/>
  <c r="W31" i="137"/>
  <c r="J19" i="140"/>
  <c r="O7" i="125"/>
  <c r="R7" i="125"/>
  <c r="V7" i="125"/>
  <c r="Z7" i="125"/>
  <c r="AC7" i="125"/>
  <c r="O8" i="125"/>
  <c r="R8" i="125"/>
  <c r="V8" i="125"/>
  <c r="O9" i="125"/>
  <c r="R9" i="125"/>
  <c r="V9" i="125"/>
  <c r="O10" i="125"/>
  <c r="R10" i="125"/>
  <c r="V10" i="125"/>
  <c r="Z10" i="125"/>
  <c r="AC10" i="125"/>
  <c r="O11" i="125"/>
  <c r="R11" i="125"/>
  <c r="V11" i="125"/>
  <c r="Z11" i="125"/>
  <c r="AC11" i="125"/>
  <c r="O12" i="125"/>
  <c r="R12" i="125"/>
  <c r="V12" i="125"/>
  <c r="Z12" i="125"/>
  <c r="AC12" i="125"/>
  <c r="O13" i="125"/>
  <c r="R13" i="125"/>
  <c r="V13" i="125"/>
  <c r="O14" i="125"/>
  <c r="R14" i="125"/>
  <c r="V14" i="125"/>
  <c r="Z14" i="125"/>
  <c r="AC14" i="125"/>
  <c r="O15" i="125"/>
  <c r="R15" i="125"/>
  <c r="V15" i="125"/>
  <c r="O16" i="125"/>
  <c r="R16" i="125"/>
  <c r="V16" i="125"/>
  <c r="O17" i="125"/>
  <c r="R17" i="125"/>
  <c r="V17" i="125"/>
  <c r="Z17" i="125"/>
  <c r="AC17" i="125"/>
  <c r="H16" i="136"/>
  <c r="O9" i="106"/>
  <c r="R9" i="106"/>
  <c r="O8" i="105"/>
  <c r="R8" i="105"/>
  <c r="V8" i="105"/>
  <c r="Z8" i="105"/>
  <c r="O7" i="105"/>
  <c r="R7" i="105"/>
  <c r="V7" i="105"/>
  <c r="Z7" i="105"/>
  <c r="AC7" i="105"/>
  <c r="Q7" i="136"/>
  <c r="W7" i="136"/>
  <c r="O7" i="136"/>
  <c r="X22" i="113"/>
  <c r="D3" i="110"/>
  <c r="D4" i="110"/>
  <c r="D5" i="110"/>
  <c r="O7" i="135"/>
  <c r="O8" i="135"/>
  <c r="R8" i="135"/>
  <c r="V8" i="135"/>
  <c r="O9" i="135"/>
  <c r="R9" i="135"/>
  <c r="V9" i="135"/>
  <c r="Z9" i="135"/>
  <c r="AC9" i="135"/>
  <c r="O10" i="135"/>
  <c r="R10" i="135"/>
  <c r="V10" i="135"/>
  <c r="O11" i="135"/>
  <c r="R11" i="135"/>
  <c r="V11" i="135"/>
  <c r="Z11" i="135"/>
  <c r="AC11" i="135"/>
  <c r="O12" i="135"/>
  <c r="R12" i="135"/>
  <c r="V12" i="135"/>
  <c r="Z12" i="135"/>
  <c r="AC12" i="135"/>
  <c r="O13" i="135"/>
  <c r="R13" i="135"/>
  <c r="V13" i="135"/>
  <c r="Z13" i="135"/>
  <c r="AC13" i="135"/>
  <c r="O14" i="135"/>
  <c r="R14" i="135"/>
  <c r="V14" i="135"/>
  <c r="Z14" i="135"/>
  <c r="AC14" i="135"/>
  <c r="O15" i="135"/>
  <c r="R15" i="135"/>
  <c r="V15" i="135"/>
  <c r="Z15" i="135"/>
  <c r="AC15" i="135"/>
  <c r="O16" i="135"/>
  <c r="R16" i="135"/>
  <c r="V16" i="135"/>
  <c r="Z16" i="135"/>
  <c r="AC16" i="135"/>
  <c r="O17" i="135"/>
  <c r="R17" i="135"/>
  <c r="V17" i="135"/>
  <c r="O18" i="135"/>
  <c r="R18" i="135"/>
  <c r="V18" i="135"/>
  <c r="O19" i="135"/>
  <c r="R19" i="135"/>
  <c r="V19" i="135"/>
  <c r="O20" i="135"/>
  <c r="R20" i="135"/>
  <c r="V20" i="135"/>
  <c r="O21" i="135"/>
  <c r="R21" i="135"/>
  <c r="V21" i="135"/>
  <c r="Z21" i="135"/>
  <c r="AC21" i="135"/>
  <c r="O22" i="135"/>
  <c r="R22" i="135"/>
  <c r="V22" i="135"/>
  <c r="O23" i="135"/>
  <c r="R23" i="135"/>
  <c r="V23" i="135"/>
  <c r="O24" i="135"/>
  <c r="R24" i="135"/>
  <c r="V24" i="135"/>
  <c r="O25" i="135"/>
  <c r="R25" i="135"/>
  <c r="V25" i="135"/>
  <c r="Z25" i="135"/>
  <c r="AC25" i="135"/>
  <c r="O26" i="135"/>
  <c r="R26" i="135"/>
  <c r="V26" i="135"/>
  <c r="Z26" i="135"/>
  <c r="AC26" i="135"/>
  <c r="O27" i="135"/>
  <c r="R27" i="135"/>
  <c r="V27" i="135"/>
  <c r="Z27" i="135"/>
  <c r="AC27" i="135"/>
  <c r="Q7" i="139"/>
  <c r="O7" i="139"/>
  <c r="Q8" i="139"/>
  <c r="W8" i="139"/>
  <c r="O8" i="139"/>
  <c r="Q9" i="139"/>
  <c r="W9" i="139"/>
  <c r="O9" i="139"/>
  <c r="Q10" i="139"/>
  <c r="O10" i="139"/>
  <c r="R10" i="139"/>
  <c r="V10" i="139"/>
  <c r="Q11" i="139"/>
  <c r="R11" i="139"/>
  <c r="V11" i="139"/>
  <c r="Z11" i="139"/>
  <c r="O11" i="139"/>
  <c r="Q12" i="139"/>
  <c r="O12" i="139"/>
  <c r="Q14" i="139"/>
  <c r="W14" i="139"/>
  <c r="O14" i="139"/>
  <c r="O7" i="138"/>
  <c r="R7" i="138"/>
  <c r="V7" i="138"/>
  <c r="Z7" i="138"/>
  <c r="O8" i="138"/>
  <c r="R8" i="138"/>
  <c r="V8" i="138"/>
  <c r="O9" i="138"/>
  <c r="O10" i="138"/>
  <c r="R10" i="138"/>
  <c r="V10" i="138"/>
  <c r="Z10" i="138"/>
  <c r="O11" i="138"/>
  <c r="R11" i="138"/>
  <c r="V11" i="138"/>
  <c r="Z11" i="138"/>
  <c r="O12" i="138"/>
  <c r="R12" i="138"/>
  <c r="O14" i="138"/>
  <c r="O15" i="138"/>
  <c r="O16" i="138"/>
  <c r="R16" i="138"/>
  <c r="V16" i="138"/>
  <c r="Z16" i="138"/>
  <c r="AC16" i="138"/>
  <c r="O17" i="138"/>
  <c r="O18" i="138"/>
  <c r="O19" i="138"/>
  <c r="U7" i="101"/>
  <c r="U8" i="101"/>
  <c r="U9" i="101"/>
  <c r="U10" i="101"/>
  <c r="Z10" i="101"/>
  <c r="AC10" i="101"/>
  <c r="U11" i="101"/>
  <c r="U12" i="101"/>
  <c r="U13" i="101"/>
  <c r="U14" i="101"/>
  <c r="U15" i="101"/>
  <c r="U16" i="101"/>
  <c r="U17" i="101"/>
  <c r="U18" i="101"/>
  <c r="U19" i="101"/>
  <c r="U20" i="101"/>
  <c r="U21" i="101"/>
  <c r="U22" i="101"/>
  <c r="U23" i="101"/>
  <c r="U24" i="101"/>
  <c r="U25" i="101"/>
  <c r="U26" i="101"/>
  <c r="U27" i="101"/>
  <c r="U28" i="101"/>
  <c r="U29" i="101"/>
  <c r="U30" i="101"/>
  <c r="O7" i="131"/>
  <c r="R7" i="131"/>
  <c r="V7" i="131"/>
  <c r="Z7" i="131"/>
  <c r="AC7" i="131"/>
  <c r="O8" i="131"/>
  <c r="O9" i="131"/>
  <c r="O10" i="131"/>
  <c r="R10" i="131"/>
  <c r="V10" i="131"/>
  <c r="O11" i="131"/>
  <c r="O12" i="131"/>
  <c r="O13" i="131"/>
  <c r="O14" i="131"/>
  <c r="O15" i="131"/>
  <c r="O16" i="131"/>
  <c r="R16" i="131"/>
  <c r="V16" i="131"/>
  <c r="Z16" i="131"/>
  <c r="O17" i="131"/>
  <c r="R17" i="131"/>
  <c r="V17" i="131"/>
  <c r="Z17" i="131"/>
  <c r="O18" i="131"/>
  <c r="R18" i="131"/>
  <c r="V18" i="131"/>
  <c r="O19" i="131"/>
  <c r="O20" i="131"/>
  <c r="R20" i="131"/>
  <c r="V20" i="131"/>
  <c r="O21" i="131"/>
  <c r="O22" i="131"/>
  <c r="R22" i="131"/>
  <c r="V22" i="131"/>
  <c r="O23" i="131"/>
  <c r="R23" i="131"/>
  <c r="V23" i="131"/>
  <c r="O24" i="131"/>
  <c r="R24" i="131"/>
  <c r="V24" i="131"/>
  <c r="O25" i="131"/>
  <c r="R25" i="131"/>
  <c r="V25" i="131"/>
  <c r="Z25" i="131"/>
  <c r="AC25" i="131"/>
  <c r="O29" i="131"/>
  <c r="R29" i="131"/>
  <c r="V29" i="131"/>
  <c r="Z29" i="131"/>
  <c r="AC29" i="131"/>
  <c r="O26" i="131"/>
  <c r="O27" i="131"/>
  <c r="R27" i="131"/>
  <c r="V27" i="131"/>
  <c r="O28" i="131"/>
  <c r="R28" i="131"/>
  <c r="V28" i="131"/>
  <c r="O30" i="131"/>
  <c r="R30" i="131"/>
  <c r="V30" i="131"/>
  <c r="Z30" i="131"/>
  <c r="O31" i="131"/>
  <c r="R31" i="131"/>
  <c r="V31" i="131"/>
  <c r="Z31" i="131"/>
  <c r="O7" i="127"/>
  <c r="R7" i="127"/>
  <c r="V7" i="127"/>
  <c r="Z7" i="127"/>
  <c r="AC7" i="127"/>
  <c r="O8" i="127"/>
  <c r="R8" i="127"/>
  <c r="V8" i="127"/>
  <c r="Z8" i="127"/>
  <c r="AC8" i="127"/>
  <c r="O9" i="127"/>
  <c r="R9" i="127"/>
  <c r="V9" i="127"/>
  <c r="O10" i="127"/>
  <c r="R10" i="127"/>
  <c r="V10" i="127"/>
  <c r="O11" i="127"/>
  <c r="R11" i="127"/>
  <c r="V11" i="127"/>
  <c r="O12" i="127"/>
  <c r="R12" i="127"/>
  <c r="V12" i="127"/>
  <c r="Z12" i="127"/>
  <c r="AC12" i="127"/>
  <c r="O13" i="127"/>
  <c r="R13" i="127"/>
  <c r="V13" i="127"/>
  <c r="Z13" i="127"/>
  <c r="AC13" i="127"/>
  <c r="O14" i="127"/>
  <c r="R14" i="127"/>
  <c r="V14" i="127"/>
  <c r="O15" i="127"/>
  <c r="R15" i="127"/>
  <c r="V15" i="127"/>
  <c r="O16" i="127"/>
  <c r="R16" i="127"/>
  <c r="V16" i="127"/>
  <c r="Z16" i="127"/>
  <c r="AC16" i="127"/>
  <c r="O17" i="127"/>
  <c r="R17" i="127"/>
  <c r="V17" i="127"/>
  <c r="Z17" i="127"/>
  <c r="AC17" i="127"/>
  <c r="O18" i="127"/>
  <c r="R18" i="127"/>
  <c r="V18" i="127"/>
  <c r="Z18" i="127"/>
  <c r="AC18" i="127"/>
  <c r="O19" i="127"/>
  <c r="R19" i="127"/>
  <c r="V19" i="127"/>
  <c r="O20" i="127"/>
  <c r="R20" i="127"/>
  <c r="V20" i="127"/>
  <c r="Z20" i="127"/>
  <c r="AC20" i="127"/>
  <c r="O21" i="127"/>
  <c r="R21" i="127"/>
  <c r="V21" i="127"/>
  <c r="Z21" i="127"/>
  <c r="AC21" i="127"/>
  <c r="O22" i="127"/>
  <c r="R22" i="127"/>
  <c r="V22" i="127"/>
  <c r="Z22" i="127"/>
  <c r="AC22" i="127"/>
  <c r="O23" i="127"/>
  <c r="R23" i="127"/>
  <c r="V23" i="127"/>
  <c r="O24" i="127"/>
  <c r="R24" i="127"/>
  <c r="V24" i="127"/>
  <c r="Z24" i="127"/>
  <c r="AC24" i="127"/>
  <c r="O25" i="127"/>
  <c r="R25" i="127"/>
  <c r="V25" i="127"/>
  <c r="Z25" i="127"/>
  <c r="AC25" i="127"/>
  <c r="O26" i="127"/>
  <c r="R26" i="127"/>
  <c r="V26" i="127"/>
  <c r="O27" i="127"/>
  <c r="R27" i="127"/>
  <c r="V27" i="127"/>
  <c r="O28" i="127"/>
  <c r="R28" i="127"/>
  <c r="V28" i="127"/>
  <c r="Z28" i="127"/>
  <c r="AC28" i="127"/>
  <c r="O7" i="128"/>
  <c r="R7" i="128"/>
  <c r="V7" i="128"/>
  <c r="Z7" i="128"/>
  <c r="AC7" i="128"/>
  <c r="O8" i="128"/>
  <c r="R8" i="128"/>
  <c r="V8" i="128"/>
  <c r="Z8" i="128"/>
  <c r="AC8" i="128"/>
  <c r="O9" i="128"/>
  <c r="R9" i="128"/>
  <c r="V9" i="128"/>
  <c r="Z9" i="128"/>
  <c r="AC9" i="128"/>
  <c r="O10" i="128"/>
  <c r="R10" i="128"/>
  <c r="V10" i="128"/>
  <c r="O11" i="128"/>
  <c r="R11" i="128"/>
  <c r="V11" i="128"/>
  <c r="O12" i="128"/>
  <c r="R12" i="128"/>
  <c r="V12" i="128"/>
  <c r="O13" i="128"/>
  <c r="R13" i="128"/>
  <c r="V13" i="128"/>
  <c r="O14" i="128"/>
  <c r="R14" i="128"/>
  <c r="V14" i="128"/>
  <c r="Z14" i="128"/>
  <c r="AC14" i="128"/>
  <c r="O15" i="128"/>
  <c r="R15" i="128"/>
  <c r="V15" i="128"/>
  <c r="O16" i="128"/>
  <c r="R16" i="128"/>
  <c r="V16" i="128"/>
  <c r="O17" i="128"/>
  <c r="R17" i="128"/>
  <c r="V17" i="128"/>
  <c r="O18" i="128"/>
  <c r="R18" i="128"/>
  <c r="V18" i="128"/>
  <c r="Z18" i="128"/>
  <c r="AC18" i="128"/>
  <c r="O19" i="128"/>
  <c r="R19" i="128"/>
  <c r="V19" i="128"/>
  <c r="Z19" i="128"/>
  <c r="AC19" i="128"/>
  <c r="O20" i="128"/>
  <c r="R20" i="128"/>
  <c r="V20" i="128"/>
  <c r="Z20" i="128"/>
  <c r="AC20" i="128"/>
  <c r="O21" i="128"/>
  <c r="R21" i="128"/>
  <c r="V21" i="128"/>
  <c r="Z21" i="128"/>
  <c r="AC21" i="128"/>
  <c r="O22" i="128"/>
  <c r="R22" i="128"/>
  <c r="V22" i="128"/>
  <c r="O23" i="128"/>
  <c r="R23" i="128"/>
  <c r="V23" i="128"/>
  <c r="O24" i="128"/>
  <c r="R24" i="128"/>
  <c r="V24" i="128"/>
  <c r="O25" i="128"/>
  <c r="R25" i="128"/>
  <c r="V25" i="128"/>
  <c r="L25" i="112"/>
  <c r="O25" i="112"/>
  <c r="N25" i="112"/>
  <c r="U25" i="112"/>
  <c r="O30" i="101"/>
  <c r="R30" i="101"/>
  <c r="V30" i="101"/>
  <c r="O9" i="105"/>
  <c r="R9" i="105"/>
  <c r="V9" i="105"/>
  <c r="Z9" i="105"/>
  <c r="AC9" i="105"/>
  <c r="O10" i="105"/>
  <c r="R10" i="105"/>
  <c r="V10" i="105"/>
  <c r="S8" i="107"/>
  <c r="O8" i="107"/>
  <c r="R8" i="107"/>
  <c r="V8" i="107"/>
  <c r="Z8" i="107"/>
  <c r="L5" i="116"/>
  <c r="L6" i="116"/>
  <c r="L7" i="116"/>
  <c r="L8" i="116"/>
  <c r="L9" i="116"/>
  <c r="L10" i="116"/>
  <c r="L11" i="116"/>
  <c r="L12" i="116"/>
  <c r="L13" i="116"/>
  <c r="L14" i="116"/>
  <c r="L15" i="116"/>
  <c r="L16" i="116"/>
  <c r="L17" i="116"/>
  <c r="L18" i="116"/>
  <c r="L19" i="116"/>
  <c r="L20" i="116"/>
  <c r="L21" i="116"/>
  <c r="L22" i="116"/>
  <c r="L23" i="116"/>
  <c r="L24" i="116"/>
  <c r="L25" i="116"/>
  <c r="L26" i="116"/>
  <c r="L27" i="116"/>
  <c r="L28" i="116"/>
  <c r="L29" i="116"/>
  <c r="L30" i="116"/>
  <c r="L31" i="116"/>
  <c r="L32" i="116"/>
  <c r="L33" i="116"/>
  <c r="L34" i="116"/>
  <c r="L35" i="116"/>
  <c r="L36" i="116"/>
  <c r="L37" i="116"/>
  <c r="L38" i="116"/>
  <c r="L39" i="116"/>
  <c r="L4" i="116"/>
  <c r="I30" i="112"/>
  <c r="U29" i="112"/>
  <c r="N29" i="112"/>
  <c r="L29" i="112"/>
  <c r="O29" i="112"/>
  <c r="U28" i="112"/>
  <c r="N28" i="112"/>
  <c r="L28" i="112"/>
  <c r="O28" i="112"/>
  <c r="I21" i="100"/>
  <c r="W7" i="138"/>
  <c r="W8" i="138"/>
  <c r="W9" i="138"/>
  <c r="W10" i="138"/>
  <c r="W11" i="138"/>
  <c r="W12" i="138"/>
  <c r="W16" i="138"/>
  <c r="W17" i="138"/>
  <c r="W20" i="138"/>
  <c r="W10" i="139"/>
  <c r="W12" i="139"/>
  <c r="W13" i="139"/>
  <c r="O13" i="105"/>
  <c r="R13" i="105"/>
  <c r="V13" i="105"/>
  <c r="Z13" i="105"/>
  <c r="AC13" i="105"/>
  <c r="O11" i="105"/>
  <c r="R11" i="105"/>
  <c r="V11" i="105"/>
  <c r="Z11" i="105"/>
  <c r="AC11" i="105"/>
  <c r="O12" i="105"/>
  <c r="R12" i="105"/>
  <c r="V12" i="105"/>
  <c r="Z12" i="105"/>
  <c r="AC12" i="105"/>
  <c r="W15" i="127"/>
  <c r="W14" i="127"/>
  <c r="W13" i="127"/>
  <c r="W12" i="127"/>
  <c r="W11" i="127"/>
  <c r="W10" i="127"/>
  <c r="W9" i="127"/>
  <c r="W8" i="127"/>
  <c r="W7" i="127"/>
  <c r="H21" i="100"/>
  <c r="E21" i="100"/>
  <c r="F21" i="100"/>
  <c r="O12" i="106"/>
  <c r="R12" i="106"/>
  <c r="V12" i="106"/>
  <c r="Z12" i="106"/>
  <c r="AC12" i="106"/>
  <c r="O11" i="106"/>
  <c r="R11" i="106"/>
  <c r="O8" i="106"/>
  <c r="R8" i="106"/>
  <c r="V8" i="106"/>
  <c r="Z8" i="106"/>
  <c r="AC8" i="106"/>
  <c r="S9" i="107"/>
  <c r="S10" i="107"/>
  <c r="O9" i="107"/>
  <c r="R9" i="107"/>
  <c r="V9" i="107"/>
  <c r="S12" i="138"/>
  <c r="E11" i="100"/>
  <c r="F11" i="100"/>
  <c r="G11" i="100"/>
  <c r="T15" i="139"/>
  <c r="H15" i="139"/>
  <c r="S14" i="139"/>
  <c r="S13" i="139"/>
  <c r="S12" i="139"/>
  <c r="S11" i="139"/>
  <c r="S10" i="139"/>
  <c r="S9" i="139"/>
  <c r="S8" i="139"/>
  <c r="S7" i="139"/>
  <c r="O20" i="138"/>
  <c r="R20" i="138"/>
  <c r="V20" i="138"/>
  <c r="Z20" i="138"/>
  <c r="S7" i="138"/>
  <c r="S8" i="138"/>
  <c r="S9" i="138"/>
  <c r="S10" i="138"/>
  <c r="S11" i="138"/>
  <c r="S13" i="138"/>
  <c r="S14" i="138"/>
  <c r="S15" i="138"/>
  <c r="S16" i="138"/>
  <c r="S17" i="138"/>
  <c r="S18" i="138"/>
  <c r="S19" i="138"/>
  <c r="S20" i="138"/>
  <c r="H21" i="138"/>
  <c r="T21" i="138"/>
  <c r="S7" i="136"/>
  <c r="T29" i="127"/>
  <c r="T16" i="136"/>
  <c r="W15" i="136"/>
  <c r="S15" i="136"/>
  <c r="O15" i="136"/>
  <c r="R15" i="136"/>
  <c r="V15" i="136"/>
  <c r="Z15" i="136"/>
  <c r="AC15" i="136"/>
  <c r="W14" i="136"/>
  <c r="S14" i="136"/>
  <c r="O14" i="136"/>
  <c r="R14" i="136"/>
  <c r="V14" i="136"/>
  <c r="Z14" i="136"/>
  <c r="AC14" i="136"/>
  <c r="W13" i="136"/>
  <c r="S13" i="136"/>
  <c r="O13" i="136"/>
  <c r="R13" i="136"/>
  <c r="V13" i="136"/>
  <c r="Z13" i="136"/>
  <c r="W12" i="136"/>
  <c r="S12" i="136"/>
  <c r="O12" i="136"/>
  <c r="R12" i="136"/>
  <c r="V12" i="136"/>
  <c r="Z12" i="136"/>
  <c r="AC12" i="136"/>
  <c r="W11" i="136"/>
  <c r="S11" i="136"/>
  <c r="O11" i="136"/>
  <c r="R11" i="136"/>
  <c r="V11" i="136"/>
  <c r="Z11" i="136"/>
  <c r="AC11" i="136"/>
  <c r="W10" i="136"/>
  <c r="S10" i="136"/>
  <c r="O10" i="136"/>
  <c r="R10" i="136"/>
  <c r="V10" i="136"/>
  <c r="Z10" i="136"/>
  <c r="AC10" i="136"/>
  <c r="S9" i="136"/>
  <c r="W8" i="136"/>
  <c r="S8" i="136"/>
  <c r="H28" i="135"/>
  <c r="T28" i="135"/>
  <c r="S8" i="135"/>
  <c r="S9" i="135"/>
  <c r="S10" i="135"/>
  <c r="S11" i="135"/>
  <c r="S12" i="135"/>
  <c r="S13" i="135"/>
  <c r="S14" i="135"/>
  <c r="S15" i="135"/>
  <c r="S16" i="135"/>
  <c r="S17" i="135"/>
  <c r="S18" i="135"/>
  <c r="S19" i="135"/>
  <c r="S20" i="135"/>
  <c r="S21" i="135"/>
  <c r="S22" i="135"/>
  <c r="S23" i="135"/>
  <c r="S24" i="135"/>
  <c r="S25" i="135"/>
  <c r="S26" i="135"/>
  <c r="S27" i="135"/>
  <c r="T30" i="133"/>
  <c r="H30" i="133"/>
  <c r="O8" i="133"/>
  <c r="R8" i="133"/>
  <c r="V8" i="133"/>
  <c r="Z8" i="133"/>
  <c r="AC8" i="133"/>
  <c r="S8" i="133"/>
  <c r="O9" i="133"/>
  <c r="R9" i="133"/>
  <c r="V9" i="133"/>
  <c r="Z9" i="133"/>
  <c r="AC9" i="133"/>
  <c r="S9" i="133"/>
  <c r="O10" i="133"/>
  <c r="R10" i="133"/>
  <c r="V10" i="133"/>
  <c r="Z10" i="133"/>
  <c r="AC10" i="133"/>
  <c r="S10" i="133"/>
  <c r="O11" i="133"/>
  <c r="R11" i="133"/>
  <c r="V11" i="133"/>
  <c r="Z11" i="133"/>
  <c r="AC11" i="133"/>
  <c r="S11" i="133"/>
  <c r="O12" i="133"/>
  <c r="R12" i="133"/>
  <c r="V12" i="133"/>
  <c r="S12" i="133"/>
  <c r="O13" i="133"/>
  <c r="R13" i="133"/>
  <c r="V13" i="133"/>
  <c r="Z13" i="133"/>
  <c r="AC13" i="133"/>
  <c r="S13" i="133"/>
  <c r="O14" i="133"/>
  <c r="R14" i="133"/>
  <c r="V14" i="133"/>
  <c r="Z14" i="133"/>
  <c r="AC14" i="133"/>
  <c r="S14" i="133"/>
  <c r="O15" i="133"/>
  <c r="R15" i="133"/>
  <c r="V15" i="133"/>
  <c r="Z15" i="133"/>
  <c r="AC15" i="133"/>
  <c r="S15" i="133"/>
  <c r="O16" i="133"/>
  <c r="R16" i="133"/>
  <c r="V16" i="133"/>
  <c r="Z16" i="133"/>
  <c r="AC16" i="133"/>
  <c r="S16" i="133"/>
  <c r="O17" i="133"/>
  <c r="R17" i="133"/>
  <c r="V17" i="133"/>
  <c r="Z17" i="133"/>
  <c r="AC17" i="133"/>
  <c r="S17" i="133"/>
  <c r="O18" i="133"/>
  <c r="R18" i="133"/>
  <c r="V18" i="133"/>
  <c r="Z18" i="133"/>
  <c r="AC18" i="133"/>
  <c r="S18" i="133"/>
  <c r="O19" i="133"/>
  <c r="R19" i="133"/>
  <c r="V19" i="133"/>
  <c r="S19" i="133"/>
  <c r="O20" i="133"/>
  <c r="R20" i="133"/>
  <c r="V20" i="133"/>
  <c r="S20" i="133"/>
  <c r="O21" i="133"/>
  <c r="R21" i="133"/>
  <c r="V21" i="133"/>
  <c r="Z21" i="133"/>
  <c r="AC21" i="133"/>
  <c r="S21" i="133"/>
  <c r="O22" i="133"/>
  <c r="R22" i="133"/>
  <c r="V22" i="133"/>
  <c r="Z22" i="133"/>
  <c r="AC22" i="133"/>
  <c r="S22" i="133"/>
  <c r="O23" i="133"/>
  <c r="R23" i="133"/>
  <c r="V23" i="133"/>
  <c r="S23" i="133"/>
  <c r="O24" i="133"/>
  <c r="R24" i="133"/>
  <c r="V24" i="133"/>
  <c r="Z24" i="133"/>
  <c r="AC24" i="133"/>
  <c r="S24" i="133"/>
  <c r="O25" i="133"/>
  <c r="R25" i="133"/>
  <c r="V25" i="133"/>
  <c r="Z25" i="133"/>
  <c r="AC25" i="133"/>
  <c r="S25" i="133"/>
  <c r="O26" i="133"/>
  <c r="R26" i="133"/>
  <c r="V26" i="133"/>
  <c r="S26" i="133"/>
  <c r="O27" i="133"/>
  <c r="R27" i="133"/>
  <c r="V27" i="133"/>
  <c r="Z27" i="133"/>
  <c r="AC27" i="133"/>
  <c r="S27" i="133"/>
  <c r="O28" i="133"/>
  <c r="R28" i="133"/>
  <c r="V28" i="133"/>
  <c r="Z28" i="133"/>
  <c r="AC28" i="133"/>
  <c r="S28" i="133"/>
  <c r="O29" i="133"/>
  <c r="R29" i="133"/>
  <c r="V29" i="133"/>
  <c r="Z29" i="133"/>
  <c r="AC29" i="133"/>
  <c r="S29" i="133"/>
  <c r="S7" i="133"/>
  <c r="O7" i="133"/>
  <c r="R7" i="133"/>
  <c r="V7" i="133"/>
  <c r="Z7" i="133"/>
  <c r="AC7" i="133"/>
  <c r="Z26" i="133"/>
  <c r="AC26" i="133"/>
  <c r="H18" i="125"/>
  <c r="T29" i="132"/>
  <c r="H29" i="132"/>
  <c r="O8" i="132"/>
  <c r="R8" i="132"/>
  <c r="V8" i="132"/>
  <c r="S8" i="132"/>
  <c r="O9" i="132"/>
  <c r="R9" i="132"/>
  <c r="V9" i="132"/>
  <c r="Z9" i="132"/>
  <c r="AC9" i="132"/>
  <c r="S9" i="132"/>
  <c r="O10" i="132"/>
  <c r="R10" i="132"/>
  <c r="V10" i="132"/>
  <c r="Z10" i="132"/>
  <c r="AC10" i="132"/>
  <c r="S10" i="132"/>
  <c r="O11" i="132"/>
  <c r="R11" i="132"/>
  <c r="V11" i="132"/>
  <c r="Z11" i="132"/>
  <c r="AC11" i="132"/>
  <c r="S11" i="132"/>
  <c r="O12" i="132"/>
  <c r="R12" i="132"/>
  <c r="V12" i="132"/>
  <c r="Z12" i="132"/>
  <c r="AC12" i="132"/>
  <c r="S12" i="132"/>
  <c r="O13" i="132"/>
  <c r="R13" i="132"/>
  <c r="V13" i="132"/>
  <c r="Z13" i="132"/>
  <c r="AC13" i="132"/>
  <c r="S13" i="132"/>
  <c r="O14" i="132"/>
  <c r="R14" i="132"/>
  <c r="V14" i="132"/>
  <c r="S14" i="132"/>
  <c r="O15" i="132"/>
  <c r="R15" i="132"/>
  <c r="V15" i="132"/>
  <c r="S15" i="132"/>
  <c r="O16" i="132"/>
  <c r="R16" i="132"/>
  <c r="V16" i="132"/>
  <c r="S16" i="132"/>
  <c r="O17" i="132"/>
  <c r="R17" i="132"/>
  <c r="V17" i="132"/>
  <c r="S17" i="132"/>
  <c r="O18" i="132"/>
  <c r="R18" i="132"/>
  <c r="V18" i="132"/>
  <c r="S18" i="132"/>
  <c r="O19" i="132"/>
  <c r="R19" i="132"/>
  <c r="V19" i="132"/>
  <c r="S19" i="132"/>
  <c r="O20" i="132"/>
  <c r="R20" i="132"/>
  <c r="V20" i="132"/>
  <c r="S20" i="132"/>
  <c r="O21" i="132"/>
  <c r="R21" i="132"/>
  <c r="V21" i="132"/>
  <c r="S21" i="132"/>
  <c r="O22" i="132"/>
  <c r="R22" i="132"/>
  <c r="V22" i="132"/>
  <c r="S22" i="132"/>
  <c r="O23" i="132"/>
  <c r="R23" i="132"/>
  <c r="V23" i="132"/>
  <c r="S23" i="132"/>
  <c r="O24" i="132"/>
  <c r="R24" i="132"/>
  <c r="V24" i="132"/>
  <c r="Z24" i="132" s="1"/>
  <c r="S24" i="132"/>
  <c r="O25" i="132"/>
  <c r="R25" i="132"/>
  <c r="V25" i="132"/>
  <c r="S25" i="132"/>
  <c r="O26" i="132"/>
  <c r="R26" i="132"/>
  <c r="V26" i="132" s="1"/>
  <c r="Z26" i="132" s="1"/>
  <c r="S26" i="132"/>
  <c r="O27" i="132"/>
  <c r="R27" i="132"/>
  <c r="V27" i="132"/>
  <c r="Z27" i="132"/>
  <c r="S27" i="132"/>
  <c r="O28" i="132"/>
  <c r="R28" i="132"/>
  <c r="V28" i="132"/>
  <c r="Z28" i="132"/>
  <c r="AC28" i="132"/>
  <c r="S28" i="132"/>
  <c r="S7" i="132"/>
  <c r="O7" i="132"/>
  <c r="R7" i="132"/>
  <c r="V7" i="132"/>
  <c r="Z7" i="132"/>
  <c r="AC7" i="132"/>
  <c r="T12" i="130"/>
  <c r="H12" i="130"/>
  <c r="O8" i="130"/>
  <c r="R8" i="130"/>
  <c r="V8" i="130"/>
  <c r="Z8" i="130"/>
  <c r="AC8" i="130"/>
  <c r="S8" i="130"/>
  <c r="O9" i="130"/>
  <c r="R9" i="130"/>
  <c r="V9" i="130"/>
  <c r="Z9" i="130"/>
  <c r="AC9" i="130"/>
  <c r="S9" i="130"/>
  <c r="O10" i="130"/>
  <c r="R10" i="130"/>
  <c r="V10" i="130"/>
  <c r="Z10" i="130"/>
  <c r="AC10" i="130"/>
  <c r="S10" i="130"/>
  <c r="O11" i="130"/>
  <c r="R11" i="130"/>
  <c r="V11" i="130"/>
  <c r="Z11" i="130"/>
  <c r="AC11" i="130"/>
  <c r="S11" i="130"/>
  <c r="S31" i="131"/>
  <c r="S30" i="131"/>
  <c r="S29" i="131"/>
  <c r="S28" i="131"/>
  <c r="S27" i="131"/>
  <c r="S26" i="131"/>
  <c r="S25" i="131"/>
  <c r="S24" i="131"/>
  <c r="S23" i="131"/>
  <c r="S22" i="131"/>
  <c r="S21" i="131"/>
  <c r="S20" i="131"/>
  <c r="S19" i="131"/>
  <c r="S18" i="131"/>
  <c r="S17" i="131"/>
  <c r="S16" i="131"/>
  <c r="S15" i="131"/>
  <c r="S14" i="131"/>
  <c r="S13" i="131"/>
  <c r="S12" i="131"/>
  <c r="S11" i="131"/>
  <c r="S10" i="131"/>
  <c r="S9" i="131"/>
  <c r="S8" i="131"/>
  <c r="S7" i="131"/>
  <c r="T32" i="131"/>
  <c r="H32" i="131"/>
  <c r="O7" i="130"/>
  <c r="R7" i="130"/>
  <c r="V7" i="130"/>
  <c r="Z7" i="130"/>
  <c r="AC7" i="130"/>
  <c r="S7" i="130"/>
  <c r="T14" i="129"/>
  <c r="H14" i="129"/>
  <c r="S8" i="129"/>
  <c r="S9" i="129"/>
  <c r="S10" i="129"/>
  <c r="S11" i="129"/>
  <c r="S12" i="129"/>
  <c r="S13" i="129"/>
  <c r="O8" i="129"/>
  <c r="R8" i="129"/>
  <c r="V8" i="129"/>
  <c r="Z8" i="129"/>
  <c r="AC8" i="129"/>
  <c r="O9" i="129"/>
  <c r="R9" i="129"/>
  <c r="V9" i="129"/>
  <c r="O10" i="129"/>
  <c r="R10" i="129"/>
  <c r="V10" i="129"/>
  <c r="Z10" i="129"/>
  <c r="AC10" i="129"/>
  <c r="O11" i="129"/>
  <c r="R11" i="129"/>
  <c r="V11" i="129"/>
  <c r="Z11" i="129"/>
  <c r="AC11" i="129"/>
  <c r="O12" i="129"/>
  <c r="R12" i="129"/>
  <c r="V12" i="129"/>
  <c r="Z12" i="129"/>
  <c r="AC12" i="129"/>
  <c r="O13" i="129"/>
  <c r="R13" i="129"/>
  <c r="V13" i="129"/>
  <c r="Z13" i="129"/>
  <c r="AC13" i="129"/>
  <c r="O7" i="129"/>
  <c r="R7" i="129"/>
  <c r="V7" i="129"/>
  <c r="Z7" i="129"/>
  <c r="AC7" i="129"/>
  <c r="S7" i="129"/>
  <c r="T26" i="128"/>
  <c r="H26" i="128"/>
  <c r="S8" i="128"/>
  <c r="S9" i="128"/>
  <c r="S10" i="128"/>
  <c r="S11" i="128"/>
  <c r="S12" i="128"/>
  <c r="S13" i="128"/>
  <c r="S14" i="128"/>
  <c r="S15" i="128"/>
  <c r="S16" i="128"/>
  <c r="S17" i="128"/>
  <c r="S18" i="128"/>
  <c r="S19" i="128"/>
  <c r="S20" i="128"/>
  <c r="S21" i="128"/>
  <c r="S22" i="128"/>
  <c r="S23" i="128"/>
  <c r="S24" i="128"/>
  <c r="S25" i="128"/>
  <c r="S7" i="128"/>
  <c r="T14" i="126"/>
  <c r="H14" i="126"/>
  <c r="S28" i="127"/>
  <c r="S27" i="127"/>
  <c r="S26" i="127"/>
  <c r="S25" i="127"/>
  <c r="S24" i="127"/>
  <c r="S23" i="127"/>
  <c r="S22" i="127"/>
  <c r="S21" i="127"/>
  <c r="S20" i="127"/>
  <c r="S19" i="127"/>
  <c r="S18" i="127"/>
  <c r="S17" i="127"/>
  <c r="S16" i="127"/>
  <c r="S15" i="127"/>
  <c r="S14" i="127"/>
  <c r="S13" i="127"/>
  <c r="S12" i="127"/>
  <c r="S11" i="127"/>
  <c r="S10" i="127"/>
  <c r="S9" i="127"/>
  <c r="S8" i="127"/>
  <c r="S7" i="127"/>
  <c r="H29" i="127"/>
  <c r="O8" i="126"/>
  <c r="R8" i="126"/>
  <c r="V8" i="126"/>
  <c r="S8" i="126"/>
  <c r="O9" i="126"/>
  <c r="R9" i="126"/>
  <c r="V9" i="126"/>
  <c r="S9" i="126"/>
  <c r="O10" i="126"/>
  <c r="R10" i="126"/>
  <c r="V10" i="126"/>
  <c r="Z10" i="126"/>
  <c r="AC10" i="126"/>
  <c r="S10" i="126"/>
  <c r="O11" i="126"/>
  <c r="R11" i="126"/>
  <c r="V11" i="126"/>
  <c r="Z11" i="126"/>
  <c r="AC11" i="126"/>
  <c r="S11" i="126"/>
  <c r="O12" i="126"/>
  <c r="R12" i="126"/>
  <c r="V12" i="126"/>
  <c r="Z12" i="126"/>
  <c r="AC12" i="126"/>
  <c r="S12" i="126"/>
  <c r="O13" i="126"/>
  <c r="R13" i="126"/>
  <c r="V13" i="126"/>
  <c r="Z13" i="126"/>
  <c r="AC13" i="126"/>
  <c r="S13" i="126"/>
  <c r="S7" i="126"/>
  <c r="O7" i="126"/>
  <c r="R7" i="126"/>
  <c r="V7" i="126"/>
  <c r="Z7" i="126"/>
  <c r="AC7" i="126"/>
  <c r="T18" i="125"/>
  <c r="S8" i="125"/>
  <c r="S9" i="125"/>
  <c r="S10" i="125"/>
  <c r="S11" i="125"/>
  <c r="S12" i="125"/>
  <c r="S13" i="125"/>
  <c r="S14" i="125"/>
  <c r="S15" i="125"/>
  <c r="S16" i="125"/>
  <c r="S17" i="125"/>
  <c r="S7" i="125"/>
  <c r="U4" i="112"/>
  <c r="U5" i="112"/>
  <c r="U6" i="112"/>
  <c r="U7" i="112"/>
  <c r="U8" i="112"/>
  <c r="U9" i="112"/>
  <c r="U10" i="112"/>
  <c r="U11" i="112"/>
  <c r="U12" i="112"/>
  <c r="U13" i="112"/>
  <c r="U14" i="112"/>
  <c r="U15" i="112"/>
  <c r="U16" i="112"/>
  <c r="U17" i="112"/>
  <c r="U18" i="112"/>
  <c r="U19" i="112"/>
  <c r="U20" i="112"/>
  <c r="U21" i="112"/>
  <c r="U22" i="112"/>
  <c r="U23" i="112"/>
  <c r="U24" i="112"/>
  <c r="U27" i="112"/>
  <c r="P30" i="112"/>
  <c r="L4" i="113"/>
  <c r="O4" i="113"/>
  <c r="N4" i="113"/>
  <c r="L5" i="113"/>
  <c r="O5" i="113"/>
  <c r="N5" i="113"/>
  <c r="L6" i="113"/>
  <c r="O6" i="113"/>
  <c r="N6" i="113"/>
  <c r="L7" i="113"/>
  <c r="N7" i="113"/>
  <c r="O7" i="113"/>
  <c r="L8" i="113"/>
  <c r="O8" i="113"/>
  <c r="N8" i="113"/>
  <c r="L9" i="113"/>
  <c r="O9" i="113"/>
  <c r="N9" i="113"/>
  <c r="L10" i="113"/>
  <c r="N10" i="113"/>
  <c r="O10" i="113"/>
  <c r="L11" i="113"/>
  <c r="N11" i="113"/>
  <c r="O11" i="113"/>
  <c r="L12" i="113"/>
  <c r="O12" i="113"/>
  <c r="N12" i="113"/>
  <c r="L13" i="113"/>
  <c r="O13" i="113"/>
  <c r="N13" i="113"/>
  <c r="L14" i="113"/>
  <c r="O14" i="113"/>
  <c r="N14" i="113"/>
  <c r="L15" i="113"/>
  <c r="O15" i="113"/>
  <c r="N15" i="113"/>
  <c r="L16" i="113"/>
  <c r="O16" i="113"/>
  <c r="N16" i="113"/>
  <c r="L17" i="113"/>
  <c r="O17" i="113"/>
  <c r="N17" i="113"/>
  <c r="L18" i="113"/>
  <c r="O18" i="113"/>
  <c r="N18" i="113"/>
  <c r="L19" i="113"/>
  <c r="N19" i="113"/>
  <c r="O19" i="113"/>
  <c r="L20" i="113"/>
  <c r="O20" i="113"/>
  <c r="N20" i="113"/>
  <c r="L21" i="113"/>
  <c r="O21" i="113"/>
  <c r="N21" i="113"/>
  <c r="L22" i="113"/>
  <c r="N22" i="113"/>
  <c r="O22" i="113"/>
  <c r="L23" i="113"/>
  <c r="O23" i="113"/>
  <c r="N23" i="113"/>
  <c r="L24" i="113"/>
  <c r="O24" i="113"/>
  <c r="N24" i="113"/>
  <c r="L25" i="113"/>
  <c r="O25" i="113"/>
  <c r="N25" i="113"/>
  <c r="L26" i="113"/>
  <c r="O26" i="113"/>
  <c r="N26" i="113"/>
  <c r="L33" i="113"/>
  <c r="O33" i="113"/>
  <c r="L4" i="112"/>
  <c r="O4" i="112"/>
  <c r="N4" i="112"/>
  <c r="L5" i="112"/>
  <c r="O5" i="112"/>
  <c r="N5" i="112"/>
  <c r="L6" i="112"/>
  <c r="O6" i="112"/>
  <c r="N6" i="112"/>
  <c r="L7" i="112"/>
  <c r="O7" i="112"/>
  <c r="N7" i="112"/>
  <c r="L8" i="112"/>
  <c r="O8" i="112"/>
  <c r="N8" i="112"/>
  <c r="L9" i="112"/>
  <c r="O9" i="112"/>
  <c r="N9" i="112"/>
  <c r="L10" i="112"/>
  <c r="O10" i="112"/>
  <c r="N10" i="112"/>
  <c r="L11" i="112"/>
  <c r="O11" i="112"/>
  <c r="N11" i="112"/>
  <c r="L12" i="112"/>
  <c r="O12" i="112"/>
  <c r="N12" i="112"/>
  <c r="L13" i="112"/>
  <c r="O13" i="112"/>
  <c r="N13" i="112"/>
  <c r="L14" i="112"/>
  <c r="O14" i="112"/>
  <c r="N14" i="112"/>
  <c r="L15" i="112"/>
  <c r="O15" i="112"/>
  <c r="N15" i="112"/>
  <c r="L16" i="112"/>
  <c r="O16" i="112"/>
  <c r="N16" i="112"/>
  <c r="L17" i="112"/>
  <c r="O17" i="112"/>
  <c r="N17" i="112"/>
  <c r="L18" i="112"/>
  <c r="O18" i="112"/>
  <c r="N18" i="112"/>
  <c r="L19" i="112"/>
  <c r="O19" i="112"/>
  <c r="N19" i="112"/>
  <c r="L20" i="112"/>
  <c r="O20" i="112"/>
  <c r="N20" i="112"/>
  <c r="L21" i="112"/>
  <c r="N21" i="112"/>
  <c r="O21" i="112"/>
  <c r="L22" i="112"/>
  <c r="O22" i="112"/>
  <c r="N22" i="112"/>
  <c r="L23" i="112"/>
  <c r="O23" i="112"/>
  <c r="N23" i="112"/>
  <c r="L24" i="112"/>
  <c r="O24" i="112"/>
  <c r="N24" i="112"/>
  <c r="L26" i="112"/>
  <c r="O26" i="112"/>
  <c r="L27" i="112"/>
  <c r="O27" i="112"/>
  <c r="N27" i="112"/>
  <c r="T12" i="107"/>
  <c r="H12" i="107"/>
  <c r="I14" i="100"/>
  <c r="S7" i="107"/>
  <c r="O7" i="107"/>
  <c r="R7" i="107"/>
  <c r="V7" i="107"/>
  <c r="Z7" i="107"/>
  <c r="AC7" i="107"/>
  <c r="T13" i="106"/>
  <c r="H13" i="106"/>
  <c r="S12" i="106"/>
  <c r="S11" i="106"/>
  <c r="V11" i="106"/>
  <c r="S10" i="106"/>
  <c r="O10" i="106"/>
  <c r="R10" i="106"/>
  <c r="V10" i="106"/>
  <c r="Z10" i="106"/>
  <c r="S9" i="106"/>
  <c r="V9" i="106"/>
  <c r="Z9" i="106"/>
  <c r="S8" i="106"/>
  <c r="S7" i="106"/>
  <c r="O7" i="106"/>
  <c r="R7" i="106"/>
  <c r="V7" i="106"/>
  <c r="Z7" i="106"/>
  <c r="T20" i="105"/>
  <c r="H20" i="105"/>
  <c r="S19" i="105"/>
  <c r="O19" i="105"/>
  <c r="R19" i="105"/>
  <c r="V19" i="105"/>
  <c r="Z19" i="105"/>
  <c r="S18" i="105"/>
  <c r="S17" i="105"/>
  <c r="O17" i="105"/>
  <c r="R17" i="105"/>
  <c r="V17" i="105"/>
  <c r="Z17" i="105"/>
  <c r="S16" i="105"/>
  <c r="O16" i="105"/>
  <c r="R16" i="105"/>
  <c r="V16" i="105"/>
  <c r="Z16" i="105"/>
  <c r="S15" i="105"/>
  <c r="S14" i="105"/>
  <c r="O14" i="105"/>
  <c r="R14" i="105"/>
  <c r="V14" i="105"/>
  <c r="Z14" i="105"/>
  <c r="S13" i="105"/>
  <c r="S12" i="105"/>
  <c r="S11" i="105"/>
  <c r="S10" i="105"/>
  <c r="S9" i="105"/>
  <c r="S8" i="105"/>
  <c r="T17" i="104"/>
  <c r="H17" i="104"/>
  <c r="W16" i="104"/>
  <c r="I16" i="100"/>
  <c r="S16" i="104"/>
  <c r="O16" i="104"/>
  <c r="R16" i="104"/>
  <c r="V16" i="104"/>
  <c r="Z16" i="104"/>
  <c r="S15" i="104"/>
  <c r="O15" i="104"/>
  <c r="R15" i="104"/>
  <c r="V15" i="104"/>
  <c r="Z15" i="104"/>
  <c r="AC15" i="104"/>
  <c r="S14" i="104"/>
  <c r="S13" i="104"/>
  <c r="O13" i="104"/>
  <c r="R13" i="104"/>
  <c r="V13" i="104"/>
  <c r="Z13" i="104"/>
  <c r="AC13" i="104"/>
  <c r="S9" i="104"/>
  <c r="O9" i="104"/>
  <c r="R9" i="104"/>
  <c r="V9" i="104"/>
  <c r="Z9" i="104"/>
  <c r="AC9" i="104"/>
  <c r="S8" i="104"/>
  <c r="O8" i="104"/>
  <c r="R8" i="104"/>
  <c r="V8" i="104"/>
  <c r="Z8" i="104"/>
  <c r="AC8" i="104"/>
  <c r="S7" i="104"/>
  <c r="T31" i="101"/>
  <c r="S30" i="101"/>
  <c r="S29" i="101"/>
  <c r="O29" i="101"/>
  <c r="R29" i="101"/>
  <c r="V29" i="101"/>
  <c r="Z29" i="101"/>
  <c r="AC29" i="101"/>
  <c r="S28" i="101"/>
  <c r="O28" i="101"/>
  <c r="R28" i="101"/>
  <c r="V28" i="101"/>
  <c r="Z28" i="101"/>
  <c r="AC28" i="101"/>
  <c r="S27" i="101"/>
  <c r="O27" i="101"/>
  <c r="R27" i="101"/>
  <c r="V27" i="101"/>
  <c r="Z27" i="101"/>
  <c r="AC27" i="101"/>
  <c r="S26" i="101"/>
  <c r="O26" i="101"/>
  <c r="R26" i="101"/>
  <c r="V26" i="101"/>
  <c r="Z26" i="101"/>
  <c r="AC26" i="101"/>
  <c r="S25" i="101"/>
  <c r="O25" i="101"/>
  <c r="R25" i="101"/>
  <c r="V25" i="101"/>
  <c r="Z25" i="101"/>
  <c r="AC25" i="101"/>
  <c r="S24" i="101"/>
  <c r="O24" i="101"/>
  <c r="R24" i="101"/>
  <c r="V24" i="101"/>
  <c r="Z24" i="101"/>
  <c r="AC24" i="101"/>
  <c r="S23" i="101"/>
  <c r="O23" i="101"/>
  <c r="R23" i="101"/>
  <c r="V23" i="101"/>
  <c r="S22" i="101"/>
  <c r="O22" i="101"/>
  <c r="R22" i="101"/>
  <c r="V22" i="101"/>
  <c r="Z22" i="101"/>
  <c r="AC22" i="101"/>
  <c r="O7" i="101"/>
  <c r="R7" i="101"/>
  <c r="V7" i="101"/>
  <c r="O8" i="101"/>
  <c r="R8" i="101"/>
  <c r="V8" i="101"/>
  <c r="Z8" i="101"/>
  <c r="AC8" i="101"/>
  <c r="Z9" i="101"/>
  <c r="AC9" i="101"/>
  <c r="AC31" i="101" s="1"/>
  <c r="O11" i="101"/>
  <c r="R11" i="101"/>
  <c r="V11" i="101"/>
  <c r="O12" i="101"/>
  <c r="R12" i="101"/>
  <c r="V12" i="101"/>
  <c r="Z12" i="101"/>
  <c r="AC12" i="101"/>
  <c r="O13" i="101"/>
  <c r="R13" i="101"/>
  <c r="V13" i="101"/>
  <c r="Z13" i="101"/>
  <c r="AC13" i="101"/>
  <c r="O14" i="101"/>
  <c r="R14" i="101"/>
  <c r="V14" i="101"/>
  <c r="AC14" i="101"/>
  <c r="O15" i="101"/>
  <c r="R15" i="101"/>
  <c r="V15" i="101"/>
  <c r="Z15" i="101"/>
  <c r="O16" i="101"/>
  <c r="R16" i="101"/>
  <c r="V16" i="101"/>
  <c r="Z16" i="101"/>
  <c r="AC16" i="101"/>
  <c r="O17" i="101"/>
  <c r="R17" i="101"/>
  <c r="V17" i="101"/>
  <c r="O18" i="101"/>
  <c r="R18" i="101"/>
  <c r="V18" i="101"/>
  <c r="O19" i="101"/>
  <c r="R19" i="101"/>
  <c r="V19" i="101"/>
  <c r="O20" i="101"/>
  <c r="R20" i="101"/>
  <c r="V20" i="101"/>
  <c r="Z20" i="101"/>
  <c r="AC20" i="101"/>
  <c r="O21" i="101"/>
  <c r="R21" i="101"/>
  <c r="V21" i="101"/>
  <c r="Z21" i="101"/>
  <c r="AC21" i="101"/>
  <c r="S21" i="101"/>
  <c r="S20" i="101"/>
  <c r="S19" i="101"/>
  <c r="S18" i="101"/>
  <c r="S17" i="101"/>
  <c r="S16" i="101"/>
  <c r="S15" i="101"/>
  <c r="S14" i="101"/>
  <c r="S13" i="101"/>
  <c r="S12" i="101"/>
  <c r="S11" i="101"/>
  <c r="S10" i="101"/>
  <c r="S9" i="101"/>
  <c r="S8" i="101"/>
  <c r="W7" i="101"/>
  <c r="S7" i="101"/>
  <c r="AC13" i="136"/>
  <c r="H14" i="100"/>
  <c r="E14" i="100"/>
  <c r="F14" i="100"/>
  <c r="W28" i="141"/>
  <c r="K3" i="110"/>
  <c r="H5" i="100"/>
  <c r="I7" i="100"/>
  <c r="P7" i="100"/>
  <c r="Z17" i="132"/>
  <c r="AC17" i="132"/>
  <c r="R7" i="135"/>
  <c r="V7" i="135"/>
  <c r="Z20" i="133"/>
  <c r="AC20" i="133"/>
  <c r="I9" i="100"/>
  <c r="I11" i="100"/>
  <c r="I15" i="100"/>
  <c r="Z10" i="105"/>
  <c r="I13" i="100"/>
  <c r="H13" i="100"/>
  <c r="E18" i="100"/>
  <c r="F18" i="100"/>
  <c r="G18" i="100"/>
  <c r="H18" i="100"/>
  <c r="H17" i="100"/>
  <c r="E17" i="100"/>
  <c r="F17" i="100"/>
  <c r="K18" i="140"/>
  <c r="H12" i="100"/>
  <c r="Z11" i="106"/>
  <c r="AC11" i="106"/>
  <c r="E20" i="100"/>
  <c r="E15" i="100"/>
  <c r="F15" i="100"/>
  <c r="G15" i="100"/>
  <c r="J15" i="100"/>
  <c r="W14" i="138"/>
  <c r="Z12" i="128"/>
  <c r="AC12" i="128"/>
  <c r="R8" i="131"/>
  <c r="V8" i="131"/>
  <c r="Z23" i="135"/>
  <c r="AC23" i="135"/>
  <c r="Z15" i="125"/>
  <c r="AC15" i="125"/>
  <c r="Q5" i="100"/>
  <c r="I12" i="100"/>
  <c r="Z15" i="127"/>
  <c r="AC15" i="127"/>
  <c r="Z24" i="135"/>
  <c r="AC24" i="135"/>
  <c r="Z16" i="125"/>
  <c r="AC16" i="125"/>
  <c r="H20" i="100"/>
  <c r="Z9" i="129"/>
  <c r="AC9" i="129"/>
  <c r="Z19" i="133"/>
  <c r="AC19" i="133"/>
  <c r="W13" i="138"/>
  <c r="Z11" i="128"/>
  <c r="AC11" i="128"/>
  <c r="R26" i="131"/>
  <c r="V26" i="131"/>
  <c r="Z26" i="131"/>
  <c r="W13" i="131"/>
  <c r="P5" i="100"/>
  <c r="O21" i="100"/>
  <c r="C40" i="100"/>
  <c r="Z20" i="135"/>
  <c r="AC20" i="135"/>
  <c r="E9" i="100"/>
  <c r="F9" i="100"/>
  <c r="G9" i="100"/>
  <c r="R19" i="138"/>
  <c r="V19" i="138"/>
  <c r="Z19" i="138"/>
  <c r="Z11" i="101"/>
  <c r="AC11" i="101"/>
  <c r="Z23" i="133"/>
  <c r="AC23" i="133"/>
  <c r="Z9" i="107"/>
  <c r="AC9" i="107"/>
  <c r="Z16" i="128"/>
  <c r="AC16" i="128"/>
  <c r="Z10" i="127"/>
  <c r="AC10" i="127"/>
  <c r="Z23" i="131"/>
  <c r="AC23" i="131"/>
  <c r="R18" i="138"/>
  <c r="V18" i="138"/>
  <c r="Z18" i="138"/>
  <c r="Z18" i="135"/>
  <c r="AC18" i="135"/>
  <c r="AC20" i="105"/>
  <c r="I6" i="100"/>
  <c r="Z9" i="126"/>
  <c r="AC9" i="126"/>
  <c r="AC14" i="126"/>
  <c r="E13" i="100"/>
  <c r="F13" i="100"/>
  <c r="Z9" i="127"/>
  <c r="AC9" i="127"/>
  <c r="Z22" i="131"/>
  <c r="AC22" i="131"/>
  <c r="R12" i="131"/>
  <c r="V12" i="131"/>
  <c r="Z12" i="131"/>
  <c r="AC12" i="131"/>
  <c r="R7" i="139"/>
  <c r="V7" i="139"/>
  <c r="Z7" i="139"/>
  <c r="Z8" i="135"/>
  <c r="AC8" i="135"/>
  <c r="U12" i="130"/>
  <c r="Z19" i="101"/>
  <c r="AC19" i="101"/>
  <c r="Z8" i="126"/>
  <c r="AC8" i="126"/>
  <c r="R11" i="131"/>
  <c r="V11" i="131"/>
  <c r="Z11" i="131"/>
  <c r="Z7" i="135"/>
  <c r="AC7" i="135"/>
  <c r="Z9" i="125"/>
  <c r="AC9" i="125"/>
  <c r="W14" i="126"/>
  <c r="Z7" i="104"/>
  <c r="AC17" i="104"/>
  <c r="Z17" i="128"/>
  <c r="AC17" i="128"/>
  <c r="Z12" i="133"/>
  <c r="AC12" i="133"/>
  <c r="AC30" i="133"/>
  <c r="Z24" i="128"/>
  <c r="AC24" i="128"/>
  <c r="Z10" i="131"/>
  <c r="AC10" i="131"/>
  <c r="R15" i="138"/>
  <c r="V15" i="138"/>
  <c r="R9" i="138"/>
  <c r="V9" i="138"/>
  <c r="Z9" i="138"/>
  <c r="I19" i="140"/>
  <c r="Z24" i="131"/>
  <c r="AC24" i="131"/>
  <c r="Z19" i="135"/>
  <c r="AC19" i="135"/>
  <c r="Z18" i="101"/>
  <c r="AC18" i="101"/>
  <c r="U30" i="133"/>
  <c r="Z17" i="101"/>
  <c r="AC17" i="101"/>
  <c r="W9" i="136"/>
  <c r="Z23" i="128"/>
  <c r="AC23" i="128"/>
  <c r="U34" i="113"/>
  <c r="Q30" i="112"/>
  <c r="F3" i="110"/>
  <c r="AC13" i="106"/>
  <c r="R14" i="131"/>
  <c r="V14" i="131"/>
  <c r="Z14" i="131"/>
  <c r="AC14" i="131"/>
  <c r="U31" i="101"/>
  <c r="W31" i="101"/>
  <c r="U40" i="116"/>
  <c r="J18" i="100"/>
  <c r="Z30" i="101"/>
  <c r="AC30" i="101"/>
  <c r="Z27" i="127"/>
  <c r="AC27" i="127"/>
  <c r="R7" i="136"/>
  <c r="V7" i="136"/>
  <c r="AC7" i="136"/>
  <c r="AC16" i="136" s="1"/>
  <c r="W19" i="131"/>
  <c r="E4" i="110"/>
  <c r="Q40" i="116"/>
  <c r="Z22" i="128"/>
  <c r="AC22" i="128"/>
  <c r="U29" i="127"/>
  <c r="P8" i="100"/>
  <c r="U12" i="107"/>
  <c r="I12" i="140"/>
  <c r="G17" i="100"/>
  <c r="J17" i="100"/>
  <c r="Z23" i="101"/>
  <c r="AC23" i="101"/>
  <c r="W7" i="139"/>
  <c r="W29" i="132"/>
  <c r="J8" i="140"/>
  <c r="P17" i="100"/>
  <c r="U29" i="132"/>
  <c r="Z19" i="127"/>
  <c r="AC19" i="127"/>
  <c r="Z28" i="131"/>
  <c r="Z20" i="131"/>
  <c r="AC20" i="131"/>
  <c r="E8" i="100"/>
  <c r="F8" i="100"/>
  <c r="G8" i="100"/>
  <c r="R9" i="139"/>
  <c r="V9" i="139"/>
  <c r="Z9" i="139"/>
  <c r="W28" i="135"/>
  <c r="W14" i="129"/>
  <c r="H10" i="100"/>
  <c r="Q13" i="100"/>
  <c r="U26" i="128"/>
  <c r="Z18" i="131"/>
  <c r="Z15" i="138"/>
  <c r="W18" i="125"/>
  <c r="J5" i="140"/>
  <c r="W30" i="133"/>
  <c r="J7" i="140"/>
  <c r="I3" i="110"/>
  <c r="Q12" i="100"/>
  <c r="P12" i="100"/>
  <c r="R14" i="139"/>
  <c r="V14" i="139"/>
  <c r="Z14" i="139"/>
  <c r="R8" i="139"/>
  <c r="V8" i="139"/>
  <c r="Z8" i="139"/>
  <c r="R15" i="131"/>
  <c r="V15" i="131"/>
  <c r="Z15" i="131"/>
  <c r="AC15" i="131"/>
  <c r="W12" i="107"/>
  <c r="H7" i="100"/>
  <c r="P13" i="100"/>
  <c r="Z14" i="127"/>
  <c r="AC14" i="127"/>
  <c r="U32" i="131"/>
  <c r="I15" i="140"/>
  <c r="U13" i="106"/>
  <c r="I13" i="140"/>
  <c r="U15" i="139"/>
  <c r="I18" i="140"/>
  <c r="E12" i="100"/>
  <c r="F12" i="100"/>
  <c r="G12" i="100"/>
  <c r="U30" i="112"/>
  <c r="W16" i="136"/>
  <c r="D6" i="110"/>
  <c r="W17" i="104"/>
  <c r="W20" i="105"/>
  <c r="Q7" i="100"/>
  <c r="P16" i="100"/>
  <c r="Q11" i="100"/>
  <c r="Z8" i="136"/>
  <c r="W12" i="130"/>
  <c r="J6" i="140"/>
  <c r="R17" i="138"/>
  <c r="V17" i="138"/>
  <c r="Z17" i="138"/>
  <c r="U16" i="136"/>
  <c r="I20" i="140"/>
  <c r="R21" i="131"/>
  <c r="V21" i="131"/>
  <c r="Z21" i="131"/>
  <c r="AC21" i="131"/>
  <c r="E5" i="110"/>
  <c r="Z25" i="128"/>
  <c r="AC25" i="128"/>
  <c r="Z13" i="128"/>
  <c r="AC13" i="128"/>
  <c r="E19" i="100"/>
  <c r="P10" i="100"/>
  <c r="P15" i="100"/>
  <c r="P11" i="100"/>
  <c r="P20" i="100"/>
  <c r="G14" i="100"/>
  <c r="J14" i="100"/>
  <c r="R12" i="139"/>
  <c r="V12" i="139"/>
  <c r="Z12" i="139"/>
  <c r="W26" i="128"/>
  <c r="J2" i="140"/>
  <c r="W13" i="106"/>
  <c r="Q8" i="100"/>
  <c r="U28" i="135"/>
  <c r="I9" i="140"/>
  <c r="P18" i="100"/>
  <c r="AC14" i="129"/>
  <c r="AC12" i="107"/>
  <c r="Z7" i="101"/>
  <c r="V31" i="101"/>
  <c r="G21" i="100"/>
  <c r="J21" i="100"/>
  <c r="Z13" i="125"/>
  <c r="AC13" i="125"/>
  <c r="V12" i="138"/>
  <c r="Z12" i="138"/>
  <c r="V13" i="138"/>
  <c r="Z13" i="138"/>
  <c r="Z17" i="135"/>
  <c r="AC17" i="135"/>
  <c r="I22" i="100"/>
  <c r="AC12" i="130"/>
  <c r="W29" i="127"/>
  <c r="I18" i="100"/>
  <c r="Z26" i="127"/>
  <c r="AC26" i="127"/>
  <c r="Z27" i="131"/>
  <c r="Z15" i="128"/>
  <c r="AC15" i="128"/>
  <c r="Z22" i="135"/>
  <c r="AC22" i="135"/>
  <c r="Z10" i="107"/>
  <c r="AC10" i="107"/>
  <c r="Z23" i="127"/>
  <c r="AC23" i="127"/>
  <c r="R9" i="131"/>
  <c r="V9" i="131"/>
  <c r="Z9" i="131"/>
  <c r="Z8" i="138"/>
  <c r="AC8" i="138"/>
  <c r="AC21" i="138"/>
  <c r="Z10" i="139"/>
  <c r="Z10" i="135"/>
  <c r="AC10" i="135"/>
  <c r="E7" i="100"/>
  <c r="H16" i="100"/>
  <c r="Q34" i="113"/>
  <c r="Q15" i="100"/>
  <c r="G16" i="100"/>
  <c r="E10" i="100"/>
  <c r="H6" i="100"/>
  <c r="H11" i="100"/>
  <c r="J11" i="100"/>
  <c r="Q22" i="100"/>
  <c r="U18" i="125"/>
  <c r="I5" i="140"/>
  <c r="I14" i="140"/>
  <c r="Z8" i="131"/>
  <c r="Z8" i="125"/>
  <c r="AC8" i="125"/>
  <c r="W21" i="131"/>
  <c r="W15" i="131"/>
  <c r="W32" i="131"/>
  <c r="I21" i="140"/>
  <c r="I5" i="110"/>
  <c r="Q9" i="100"/>
  <c r="P22" i="100"/>
  <c r="Q17" i="100"/>
  <c r="U14" i="129"/>
  <c r="I4" i="140"/>
  <c r="W11" i="139"/>
  <c r="W15" i="139"/>
  <c r="J18" i="140"/>
  <c r="P9" i="100"/>
  <c r="U20" i="105"/>
  <c r="I11" i="140"/>
  <c r="Z11" i="127"/>
  <c r="AC11" i="127"/>
  <c r="G22" i="100"/>
  <c r="J22" i="100"/>
  <c r="E6" i="100"/>
  <c r="H19" i="100"/>
  <c r="I4" i="110"/>
  <c r="Q20" i="100"/>
  <c r="Q19" i="100"/>
  <c r="U14" i="126"/>
  <c r="I3" i="140"/>
  <c r="Z10" i="128"/>
  <c r="AC10" i="128"/>
  <c r="H8" i="100"/>
  <c r="P19" i="100"/>
  <c r="I16" i="140"/>
  <c r="Q18" i="100"/>
  <c r="H9" i="100"/>
  <c r="Q10" i="100"/>
  <c r="I23" i="140"/>
  <c r="N4" i="110"/>
  <c r="F4" i="110"/>
  <c r="K4" i="110"/>
  <c r="F5" i="110"/>
  <c r="G5" i="110"/>
  <c r="H5" i="110"/>
  <c r="K5" i="110"/>
  <c r="K6" i="110"/>
  <c r="W21" i="138"/>
  <c r="J16" i="140"/>
  <c r="G3" i="110"/>
  <c r="I22" i="140"/>
  <c r="N3" i="110"/>
  <c r="Q23" i="100"/>
  <c r="P23" i="100"/>
  <c r="H23" i="100"/>
  <c r="F19" i="100"/>
  <c r="E23" i="100"/>
  <c r="I24" i="140"/>
  <c r="N5" i="110"/>
  <c r="N6" i="110"/>
  <c r="K29" i="140"/>
  <c r="G13" i="100"/>
  <c r="J13" i="100"/>
  <c r="K7" i="140"/>
  <c r="K3" i="140"/>
  <c r="K14" i="140"/>
  <c r="K12" i="140"/>
  <c r="K20" i="140"/>
  <c r="I7" i="140"/>
  <c r="J22" i="140"/>
  <c r="K4" i="140"/>
  <c r="O8" i="100"/>
  <c r="C43" i="100"/>
  <c r="I6" i="140"/>
  <c r="O19" i="100"/>
  <c r="I17" i="140"/>
  <c r="J3" i="140"/>
  <c r="F20" i="100"/>
  <c r="K13" i="140"/>
  <c r="J21" i="140"/>
  <c r="J17" i="140"/>
  <c r="J13" i="140"/>
  <c r="J11" i="140"/>
  <c r="J4" i="140"/>
  <c r="K11" i="140"/>
  <c r="K16" i="140"/>
  <c r="J10" i="140"/>
  <c r="J23" i="140"/>
  <c r="J14" i="140"/>
  <c r="E6" i="110"/>
  <c r="J9" i="140"/>
  <c r="I2" i="140"/>
  <c r="J24" i="140"/>
  <c r="J15" i="140"/>
  <c r="O10" i="100"/>
  <c r="U15" i="100" s="1"/>
  <c r="C42" i="100"/>
  <c r="O12" i="100"/>
  <c r="C47" i="100"/>
  <c r="I10" i="140"/>
  <c r="AC32" i="131"/>
  <c r="J20" i="140"/>
  <c r="J12" i="140"/>
  <c r="I8" i="140"/>
  <c r="K8" i="140"/>
  <c r="K6" i="140"/>
  <c r="G4" i="110"/>
  <c r="H4" i="110"/>
  <c r="J4" i="110"/>
  <c r="H3" i="110"/>
  <c r="J3" i="110"/>
  <c r="I6" i="110"/>
  <c r="O17" i="100"/>
  <c r="C37" i="100"/>
  <c r="J12" i="100"/>
  <c r="AC28" i="135"/>
  <c r="I17" i="100"/>
  <c r="AC18" i="125"/>
  <c r="O22" i="100"/>
  <c r="C41" i="100"/>
  <c r="Z16" i="136"/>
  <c r="AC29" i="127"/>
  <c r="I20" i="100"/>
  <c r="O20" i="100"/>
  <c r="C50" i="100"/>
  <c r="L20" i="100"/>
  <c r="O14" i="100"/>
  <c r="C51" i="100"/>
  <c r="O11" i="100"/>
  <c r="C48" i="100"/>
  <c r="O15" i="100"/>
  <c r="C46" i="100"/>
  <c r="AC26" i="128"/>
  <c r="J16" i="100"/>
  <c r="O18" i="100"/>
  <c r="C49" i="100"/>
  <c r="J5" i="100"/>
  <c r="C38" i="100"/>
  <c r="O6" i="100"/>
  <c r="C39" i="100"/>
  <c r="O16" i="100"/>
  <c r="C44" i="100"/>
  <c r="O7" i="100"/>
  <c r="F7" i="100"/>
  <c r="G7" i="100"/>
  <c r="F10" i="100"/>
  <c r="G10" i="100"/>
  <c r="J5" i="110"/>
  <c r="Z31" i="101"/>
  <c r="AC7" i="101"/>
  <c r="O13" i="100"/>
  <c r="F6" i="110"/>
  <c r="F6" i="100"/>
  <c r="G6" i="100"/>
  <c r="C45" i="100"/>
  <c r="O23" i="100"/>
  <c r="U18" i="100"/>
  <c r="I23" i="100"/>
  <c r="V15" i="100"/>
  <c r="C36" i="100"/>
  <c r="G19" i="100"/>
  <c r="F23" i="100"/>
  <c r="G6" i="110"/>
  <c r="K9" i="140"/>
  <c r="K28" i="140"/>
  <c r="K15" i="140"/>
  <c r="G20" i="100"/>
  <c r="J20" i="100"/>
  <c r="K10" i="140"/>
  <c r="K5" i="140"/>
  <c r="K17" i="140"/>
  <c r="K2" i="140"/>
  <c r="H6" i="110"/>
  <c r="U16" i="100"/>
  <c r="G23" i="100"/>
  <c r="J19" i="100"/>
  <c r="J6" i="110"/>
  <c r="U17" i="100"/>
  <c r="U19" i="100"/>
  <c r="G4" i="100" l="1"/>
  <c r="J4" i="100" s="1"/>
  <c r="Z25" i="132"/>
  <c r="AC25" i="132" s="1"/>
  <c r="Z23" i="132"/>
  <c r="AC23" i="132" s="1"/>
  <c r="Z22" i="132"/>
  <c r="AC22" i="132" s="1"/>
  <c r="Z21" i="132"/>
  <c r="AC21" i="132" s="1"/>
  <c r="Z20" i="132"/>
  <c r="AC20" i="132" s="1"/>
  <c r="Z19" i="132"/>
  <c r="AC19" i="132" s="1"/>
  <c r="Z18" i="132"/>
  <c r="AC18" i="132" s="1"/>
  <c r="Z16" i="132"/>
  <c r="AC16" i="132" s="1"/>
  <c r="Z15" i="132"/>
  <c r="AC15" i="132" s="1"/>
  <c r="Z14" i="132"/>
  <c r="AC14" i="132" s="1"/>
  <c r="D10" i="100"/>
  <c r="Z8" i="132"/>
  <c r="AC8" i="132" s="1"/>
  <c r="AC29" i="132" s="1"/>
  <c r="J23" i="100" l="1"/>
  <c r="D23" i="10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MIGUEL DIAZ</author>
  </authors>
  <commentList>
    <comment ref="Y6" authorId="0" shapeId="0" xr:uid="{00000000-0006-0000-1900-000001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MIGUEL DIAZ</author>
  </authors>
  <commentList>
    <comment ref="Y6" authorId="0" shapeId="0" xr:uid="{00000000-0006-0000-1400-000001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MIGUEL DIAZ</author>
  </authors>
  <commentList>
    <comment ref="Y6" authorId="0" shapeId="0" xr:uid="{00000000-0006-0000-1700-000001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MIGUEL DIAZ</author>
  </authors>
  <commentList>
    <comment ref="Y6" authorId="0" shapeId="0" xr:uid="{00000000-0006-0000-1500-000001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JORGE MIGUEL DIAZ</author>
  </authors>
  <commentList>
    <comment ref="Y6" authorId="0" shapeId="0" xr:uid="{00000000-0006-0000-1200-000001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tc={51F964FB-DEE5-4B5F-A4E2-0E124FEAEBAE}</author>
  </authors>
  <commentList>
    <comment ref="N7" authorId="0" shapeId="0" xr:uid="{51F964FB-DEE5-4B5F-A4E2-0E124FEAEBAE}">
      <text>
        <t xml:space="preserve">[Threaded comment]
Your version of Excel allows you to read this threaded comment; however, any edits to it will get removed if the file is opened in a newer version of Excel. Learn more: https://go.microsoft.com/fwlink/?linkid=870924
Comment:
    Fechas </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JORGE MIGUEL DIAZ</author>
    <author>MJ03JZH3</author>
    <author>asus</author>
    <author>laquijano</author>
    <author>UNICAUCA</author>
    <author>tc={4DBA0F16-BB2A-4CA2-B845-5587A47A2135}</author>
  </authors>
  <commentList>
    <comment ref="D3" authorId="0" shapeId="0" xr:uid="{00000000-0006-0000-0D00-000001000000}">
      <text>
        <r>
          <rPr>
            <sz val="9"/>
            <color indexed="81"/>
            <rFont val="Tahoma"/>
            <family val="2"/>
          </rPr>
          <t>Realice la descripción de la oportunidad de mejora resultado de la autoevaluación o derivadas de otras fuentes</t>
        </r>
      </text>
    </comment>
    <comment ref="E3" authorId="1" shapeId="0" xr:uid="{00000000-0006-0000-0D00-000002000000}">
      <text>
        <r>
          <rPr>
            <sz val="9"/>
            <color indexed="81"/>
            <rFont val="Tahoma"/>
            <family val="2"/>
          </rPr>
          <t>Describa las causas que generan la oportunidad de mejora o la no conformidad. 
En caso de trabajar con una oportunidad de mejora, no es necesario realizar análisis de causas.</t>
        </r>
      </text>
    </comment>
    <comment ref="F3" authorId="1" shapeId="0" xr:uid="{00000000-0006-0000-0D00-000003000000}">
      <text>
        <r>
          <rPr>
            <sz val="9"/>
            <color indexed="81"/>
            <rFont val="Tahoma"/>
            <family val="2"/>
          </rPr>
          <t xml:space="preserve">Nombre del proyecto o acción a emprender que se realizará para superar la debilidad u oportunidad de mejora o la no conformidad </t>
        </r>
      </text>
    </comment>
    <comment ref="G3" authorId="2" shapeId="0" xr:uid="{00000000-0006-0000-0D00-000004000000}">
      <text>
        <r>
          <rPr>
            <sz val="9"/>
            <color indexed="81"/>
            <rFont val="Tahoma"/>
            <family val="2"/>
          </rPr>
          <t>Describa la(s) actividad(es) específicas a emprender o desarrollar para trabajar el proyecto  o acción.
Pueden ser más de una.</t>
        </r>
      </text>
    </comment>
    <comment ref="H3" authorId="1" shapeId="0" xr:uid="{00000000-0006-0000-0D00-000005000000}">
      <text>
        <r>
          <rPr>
            <b/>
            <sz val="9"/>
            <color indexed="81"/>
            <rFont val="Tahoma"/>
            <family val="2"/>
          </rPr>
          <t>Únicamente para Acreditación:</t>
        </r>
        <r>
          <rPr>
            <sz val="9"/>
            <color indexed="81"/>
            <rFont val="Tahoma"/>
            <family val="2"/>
          </rPr>
          <t xml:space="preserve">
Realizar una priorización, asignándole un peso a cada proyecto de una escala de 0 a 100, teniendo en cuenta que la sumatoria de todas las actividades realizadas deben dar como resultado un 100%
Ejemplo:
Sensibilización del PEI: 20%
Cambio o modificación del programa: 70%
Propuesta cambios normativos: 10%</t>
        </r>
      </text>
    </comment>
    <comment ref="I3" authorId="0" shapeId="0" xr:uid="{00000000-0006-0000-0D00-000006000000}">
      <text>
        <r>
          <rPr>
            <sz val="9"/>
            <color indexed="81"/>
            <rFont val="Tahoma"/>
            <family val="2"/>
          </rPr>
          <t>Cuantifique la actividad, establecida en unidades o porcentajes de acuerdo a su denominación</t>
        </r>
        <r>
          <rPr>
            <b/>
            <sz val="9"/>
            <color indexed="81"/>
            <rFont val="Tahoma"/>
            <family val="2"/>
          </rPr>
          <t>.
Ejemplo :</t>
        </r>
        <r>
          <rPr>
            <sz val="9"/>
            <color indexed="81"/>
            <rFont val="Tahoma"/>
            <family val="2"/>
          </rPr>
          <t xml:space="preserve"> Una charla, una reunión, un taller, una capacitación, verificación en puesto de trabajo
</t>
        </r>
      </text>
    </comment>
    <comment ref="J3" authorId="3" shapeId="0" xr:uid="{00000000-0006-0000-0D00-000007000000}">
      <text>
        <r>
          <rPr>
            <sz val="8"/>
            <color indexed="81"/>
            <rFont val="Tahoma"/>
            <family val="2"/>
          </rPr>
          <t>Fecha programada para la iniciación de cada actividad</t>
        </r>
        <r>
          <rPr>
            <b/>
            <sz val="8"/>
            <color indexed="81"/>
            <rFont val="Tahoma"/>
            <family val="2"/>
          </rPr>
          <t xml:space="preserve">. </t>
        </r>
        <r>
          <rPr>
            <sz val="8"/>
            <color indexed="81"/>
            <rFont val="Tahoma"/>
            <family val="2"/>
          </rPr>
          <t xml:space="preserve">
</t>
        </r>
      </text>
    </comment>
    <comment ref="K3" authorId="3" shapeId="0" xr:uid="{00000000-0006-0000-0D00-000008000000}">
      <text>
        <r>
          <rPr>
            <sz val="8"/>
            <color indexed="81"/>
            <rFont val="Tahoma"/>
            <family val="2"/>
          </rPr>
          <t>Fecha programada para la terminación de cada actividad, teniendo en cuenta que no sea  mayor a 52 semanas despues de la suscripción.</t>
        </r>
      </text>
    </comment>
    <comment ref="L3" authorId="3" shapeId="0" xr:uid="{00000000-0006-0000-0D00-000009000000}">
      <text>
        <r>
          <rPr>
            <sz val="8"/>
            <color indexed="81"/>
            <rFont val="Tahoma"/>
            <family val="2"/>
          </rPr>
          <t xml:space="preserve">La hoja calcula automáticamente el plazo de duración de la actividad  de mejoramiento teniendo en cuenta las fechas de inicio y terminación de la actividad.
</t>
        </r>
      </text>
    </comment>
    <comment ref="M3" authorId="4" shapeId="0" xr:uid="{00000000-0006-0000-0D00-00000A000000}">
      <text>
        <r>
          <rPr>
            <b/>
            <sz val="9"/>
            <color indexed="81"/>
            <rFont val="Tahoma"/>
            <family val="2"/>
          </rPr>
          <t>UNICAUCA: 
-Para dilegenciar la primera vez se llena con la fecha de terminación, situación que varía con los seguiminetos.</t>
        </r>
        <r>
          <rPr>
            <sz val="9"/>
            <color indexed="81"/>
            <rFont val="Tahoma"/>
            <family val="2"/>
          </rPr>
          <t xml:space="preserve">
-Se diligencia la fecha de último seguimiento.- Cuando el avance físico llega a 100% no se módifica las fechas. </t>
        </r>
      </text>
    </comment>
    <comment ref="P3" authorId="3" shapeId="0" xr:uid="{00000000-0006-0000-0D00-00000B000000}">
      <text>
        <r>
          <rPr>
            <sz val="8"/>
            <color indexed="81"/>
            <rFont val="Tahoma"/>
            <family val="2"/>
          </rPr>
          <t>Registre el avance de la ejecución de la actividad, en términos de la Unidad de Medida.</t>
        </r>
      </text>
    </comment>
    <comment ref="Q3" authorId="3" shapeId="0" xr:uid="{00000000-0006-0000-0D00-00000C000000}">
      <text>
        <r>
          <rPr>
            <sz val="8"/>
            <color indexed="81"/>
            <rFont val="Tahoma"/>
            <family val="2"/>
          </rPr>
          <t>Calcula el avance porcentual de la actividad dividiendo la ejecución informada en la columna N sobre la columna J</t>
        </r>
        <r>
          <rPr>
            <sz val="8"/>
            <color indexed="81"/>
            <rFont val="Tahoma"/>
            <family val="2"/>
          </rPr>
          <t xml:space="preserve">
</t>
        </r>
      </text>
    </comment>
    <comment ref="T3" authorId="0" shapeId="0" xr:uid="{00000000-0006-0000-0D00-00000D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 ref="V3" authorId="0" shapeId="0" xr:uid="{00000000-0006-0000-0D00-00000E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 ref="Q11" authorId="5" shapeId="0" xr:uid="{4DBA0F16-BB2A-4CA2-B845-5587A47A2135}">
      <text>
        <t xml:space="preserve">[Threaded comment]
Your version of Excel allows you to read this threaded comment; however, any edits to it will get removed if the file is opened in a newer version of Excel. Learn more: https://go.microsoft.com/fwlink/?linkid=870924
Comment:
    Reformulada.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JORGE MIGUEL DIAZ</author>
    <author>MJ03JZH3</author>
    <author>asus</author>
    <author>laquijano</author>
    <author>UNICAUCA</author>
  </authors>
  <commentList>
    <comment ref="D3" authorId="0" shapeId="0" xr:uid="{00000000-0006-0000-0E00-000001000000}">
      <text>
        <r>
          <rPr>
            <sz val="9"/>
            <color indexed="81"/>
            <rFont val="Tahoma"/>
            <family val="2"/>
          </rPr>
          <t>Realice la descripción de la oportunidad de mejora resultado de la autoevaluación o derivadas de otras fuentes</t>
        </r>
      </text>
    </comment>
    <comment ref="E3" authorId="1" shapeId="0" xr:uid="{00000000-0006-0000-0E00-000002000000}">
      <text>
        <r>
          <rPr>
            <sz val="9"/>
            <color indexed="81"/>
            <rFont val="Tahoma"/>
            <family val="2"/>
          </rPr>
          <t>Describa las causas que generan la oportunidad de mejora o la no conformidad. 
En caso de trabajar con una oportunidad de mejora, no es necesario realizar análisis de causas.</t>
        </r>
      </text>
    </comment>
    <comment ref="F3" authorId="1" shapeId="0" xr:uid="{00000000-0006-0000-0E00-000003000000}">
      <text>
        <r>
          <rPr>
            <sz val="9"/>
            <color indexed="81"/>
            <rFont val="Tahoma"/>
            <family val="2"/>
          </rPr>
          <t xml:space="preserve">Nombre del proyecto o acción a emprender que se realizará para superar la debilidad u oportunidad de mejora o la no conformidad </t>
        </r>
      </text>
    </comment>
    <comment ref="G3" authorId="2" shapeId="0" xr:uid="{00000000-0006-0000-0E00-000004000000}">
      <text>
        <r>
          <rPr>
            <sz val="9"/>
            <color indexed="81"/>
            <rFont val="Tahoma"/>
            <family val="2"/>
          </rPr>
          <t>Describa la(s) actividad(es) específicas a emprender o desarrollar para trabajar el proyecto  o acción.
Pueden ser más de una.</t>
        </r>
      </text>
    </comment>
    <comment ref="H3" authorId="1" shapeId="0" xr:uid="{00000000-0006-0000-0E00-000005000000}">
      <text>
        <r>
          <rPr>
            <b/>
            <sz val="9"/>
            <color indexed="81"/>
            <rFont val="Tahoma"/>
            <family val="2"/>
          </rPr>
          <t>Únicamente para Acreditación:</t>
        </r>
        <r>
          <rPr>
            <sz val="9"/>
            <color indexed="81"/>
            <rFont val="Tahoma"/>
            <family val="2"/>
          </rPr>
          <t xml:space="preserve">
Realizar una priorización, asignándole un peso a cada proyecto de una escala de 0 a 100, teniendo en cuenta que la sumatoria de todas las actividades realizadas deben dar como resultado un 100%
Ejemplo:
Sensibilización del PEI: 20%
Cambio o modificación del programa: 70%
Propuesta cambios normativos: 10%</t>
        </r>
      </text>
    </comment>
    <comment ref="I3" authorId="0" shapeId="0" xr:uid="{00000000-0006-0000-0E00-000006000000}">
      <text>
        <r>
          <rPr>
            <sz val="9"/>
            <color indexed="81"/>
            <rFont val="Tahoma"/>
            <family val="2"/>
          </rPr>
          <t>Cuantifique la actividad, establecida en unidades o porcentajes de acuerdo a su denominación</t>
        </r>
        <r>
          <rPr>
            <b/>
            <sz val="9"/>
            <color indexed="81"/>
            <rFont val="Tahoma"/>
            <family val="2"/>
          </rPr>
          <t>.
Ejemplo :</t>
        </r>
        <r>
          <rPr>
            <sz val="9"/>
            <color indexed="81"/>
            <rFont val="Tahoma"/>
            <family val="2"/>
          </rPr>
          <t xml:space="preserve"> Una charla, una reunión, un taller, una capacitación, verificación en puesto de trabajo
</t>
        </r>
      </text>
    </comment>
    <comment ref="J3" authorId="3" shapeId="0" xr:uid="{00000000-0006-0000-0E00-000007000000}">
      <text>
        <r>
          <rPr>
            <sz val="8"/>
            <color indexed="81"/>
            <rFont val="Tahoma"/>
            <family val="2"/>
          </rPr>
          <t>Fecha programada para la iniciación de cada actividad</t>
        </r>
        <r>
          <rPr>
            <b/>
            <sz val="8"/>
            <color indexed="81"/>
            <rFont val="Tahoma"/>
            <family val="2"/>
          </rPr>
          <t xml:space="preserve">. </t>
        </r>
        <r>
          <rPr>
            <sz val="8"/>
            <color indexed="81"/>
            <rFont val="Tahoma"/>
            <family val="2"/>
          </rPr>
          <t xml:space="preserve">
</t>
        </r>
      </text>
    </comment>
    <comment ref="K3" authorId="3" shapeId="0" xr:uid="{00000000-0006-0000-0E00-000008000000}">
      <text>
        <r>
          <rPr>
            <sz val="8"/>
            <color indexed="81"/>
            <rFont val="Tahoma"/>
            <family val="2"/>
          </rPr>
          <t>Fecha programada para la terminación de cada actividad, teniendo en cuenta que no sea  mayor a 52 semanas despues de la suscripción.</t>
        </r>
      </text>
    </comment>
    <comment ref="L3" authorId="3" shapeId="0" xr:uid="{00000000-0006-0000-0E00-000009000000}">
      <text>
        <r>
          <rPr>
            <sz val="8"/>
            <color indexed="81"/>
            <rFont val="Tahoma"/>
            <family val="2"/>
          </rPr>
          <t xml:space="preserve">La hoja calcula automáticamente el plazo de duración de la actividad  de mejoramiento teniendo en cuenta las fechas de inicio y terminación de la actividad.
</t>
        </r>
      </text>
    </comment>
    <comment ref="M3" authorId="4" shapeId="0" xr:uid="{00000000-0006-0000-0E00-00000A000000}">
      <text>
        <r>
          <rPr>
            <b/>
            <sz val="9"/>
            <color indexed="81"/>
            <rFont val="Tahoma"/>
            <family val="2"/>
          </rPr>
          <t>UNICAUCA: 
-Para dilegenciar la primera vez se llena con la fecha de terminación, situación que varía con los seguiminetos.</t>
        </r>
        <r>
          <rPr>
            <sz val="9"/>
            <color indexed="81"/>
            <rFont val="Tahoma"/>
            <family val="2"/>
          </rPr>
          <t xml:space="preserve">
-Se diligencia la fecha de último seguimiento.- Cuando el avance físico llega a 100% no se módifica las fechas. </t>
        </r>
      </text>
    </comment>
    <comment ref="P3" authorId="3" shapeId="0" xr:uid="{00000000-0006-0000-0E00-00000B000000}">
      <text>
        <r>
          <rPr>
            <sz val="8"/>
            <color indexed="81"/>
            <rFont val="Tahoma"/>
            <family val="2"/>
          </rPr>
          <t>Registre el avance de la ejecución de la actividad, en términos de la Unidad de Medida.</t>
        </r>
      </text>
    </comment>
    <comment ref="Q3" authorId="3" shapeId="0" xr:uid="{00000000-0006-0000-0E00-00000C000000}">
      <text>
        <r>
          <rPr>
            <sz val="8"/>
            <color indexed="81"/>
            <rFont val="Tahoma"/>
            <family val="2"/>
          </rPr>
          <t>Calcula el avance porcentual de la actividad dividiendo la ejecución informada en la columna N sobre la columna J</t>
        </r>
        <r>
          <rPr>
            <sz val="8"/>
            <color indexed="81"/>
            <rFont val="Tahoma"/>
            <family val="2"/>
          </rPr>
          <t xml:space="preserve">
</t>
        </r>
      </text>
    </comment>
    <comment ref="T3" authorId="0" shapeId="0" xr:uid="{00000000-0006-0000-0E00-00000D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 ref="V3" authorId="0" shapeId="0" xr:uid="{00000000-0006-0000-0E00-00000E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JORGE MIGUEL DIAZ</author>
    <author>MJ03JZH3</author>
    <author>asus</author>
    <author>laquijano</author>
    <author>UNICAUCA</author>
  </authors>
  <commentList>
    <comment ref="D3" authorId="0" shapeId="0" xr:uid="{00000000-0006-0000-0F00-000001000000}">
      <text>
        <r>
          <rPr>
            <sz val="9"/>
            <color indexed="81"/>
            <rFont val="Tahoma"/>
            <family val="2"/>
          </rPr>
          <t>Realice la descripción de la oportunidad de mejora resultado de la autoevaluación o derivadas de otras fuentes</t>
        </r>
      </text>
    </comment>
    <comment ref="E3" authorId="1" shapeId="0" xr:uid="{00000000-0006-0000-0F00-000002000000}">
      <text>
        <r>
          <rPr>
            <sz val="9"/>
            <color indexed="81"/>
            <rFont val="Tahoma"/>
            <family val="2"/>
          </rPr>
          <t>Describa las causas que generan la oportunidad de mejora o la no conformidad. 
En caso de trabajar con una oportunidad de mejora, no es necesario realizar análisis de causas.</t>
        </r>
      </text>
    </comment>
    <comment ref="F3" authorId="1" shapeId="0" xr:uid="{00000000-0006-0000-0F00-000003000000}">
      <text>
        <r>
          <rPr>
            <sz val="9"/>
            <color indexed="81"/>
            <rFont val="Tahoma"/>
            <family val="2"/>
          </rPr>
          <t xml:space="preserve">Nombre del proyecto o acción a emprender que se realizará para superar la debilidad u oportunidad de mejora o la no conformidad </t>
        </r>
      </text>
    </comment>
    <comment ref="G3" authorId="2" shapeId="0" xr:uid="{00000000-0006-0000-0F00-000004000000}">
      <text>
        <r>
          <rPr>
            <sz val="9"/>
            <color indexed="81"/>
            <rFont val="Tahoma"/>
            <family val="2"/>
          </rPr>
          <t>Describa la(s) actividad(es) específicas a emprender o desarrollar para trabajar el proyecto  o acción.
Pueden ser más de una.</t>
        </r>
      </text>
    </comment>
    <comment ref="H3" authorId="1" shapeId="0" xr:uid="{00000000-0006-0000-0F00-000005000000}">
      <text>
        <r>
          <rPr>
            <b/>
            <sz val="9"/>
            <color indexed="81"/>
            <rFont val="Tahoma"/>
            <family val="2"/>
          </rPr>
          <t>Únicamente para Acreditación:</t>
        </r>
        <r>
          <rPr>
            <sz val="9"/>
            <color indexed="81"/>
            <rFont val="Tahoma"/>
            <family val="2"/>
          </rPr>
          <t xml:space="preserve">
Realizar una priorización, asignándole un peso a cada proyecto de una escala de 0 a 100, teniendo en cuenta que la sumatoria de todas las actividades realizadas deben dar como resultado un 100%
Ejemplo:
Sensibilización del PEI: 20%
Cambio o modificación del programa: 70%
Propuesta cambios normativos: 10%</t>
        </r>
      </text>
    </comment>
    <comment ref="I3" authorId="0" shapeId="0" xr:uid="{00000000-0006-0000-0F00-000006000000}">
      <text>
        <r>
          <rPr>
            <sz val="9"/>
            <color indexed="81"/>
            <rFont val="Tahoma"/>
            <family val="2"/>
          </rPr>
          <t>Cuantifique la actividad, establecida en unidades o porcentajes de acuerdo a su denominación</t>
        </r>
        <r>
          <rPr>
            <b/>
            <sz val="9"/>
            <color indexed="81"/>
            <rFont val="Tahoma"/>
            <family val="2"/>
          </rPr>
          <t>.
Ejemplo :</t>
        </r>
        <r>
          <rPr>
            <sz val="9"/>
            <color indexed="81"/>
            <rFont val="Tahoma"/>
            <family val="2"/>
          </rPr>
          <t xml:space="preserve"> Una charla, una reunión, un taller, una capacitación, verificación en puesto de trabajo
</t>
        </r>
      </text>
    </comment>
    <comment ref="J3" authorId="3" shapeId="0" xr:uid="{00000000-0006-0000-0F00-000007000000}">
      <text>
        <r>
          <rPr>
            <sz val="8"/>
            <color indexed="81"/>
            <rFont val="Tahoma"/>
            <family val="2"/>
          </rPr>
          <t>Fecha programada para la iniciación de cada actividad</t>
        </r>
        <r>
          <rPr>
            <b/>
            <sz val="8"/>
            <color indexed="81"/>
            <rFont val="Tahoma"/>
            <family val="2"/>
          </rPr>
          <t xml:space="preserve">. </t>
        </r>
        <r>
          <rPr>
            <sz val="8"/>
            <color indexed="81"/>
            <rFont val="Tahoma"/>
            <family val="2"/>
          </rPr>
          <t xml:space="preserve">
</t>
        </r>
      </text>
    </comment>
    <comment ref="K3" authorId="3" shapeId="0" xr:uid="{00000000-0006-0000-0F00-000008000000}">
      <text>
        <r>
          <rPr>
            <sz val="8"/>
            <color indexed="81"/>
            <rFont val="Tahoma"/>
            <family val="2"/>
          </rPr>
          <t>Fecha programada para la terminación de cada actividad, teniendo en cuenta que no sea  mayor a 52 semanas despues de la suscripción.</t>
        </r>
      </text>
    </comment>
    <comment ref="L3" authorId="3" shapeId="0" xr:uid="{00000000-0006-0000-0F00-000009000000}">
      <text>
        <r>
          <rPr>
            <sz val="8"/>
            <color indexed="81"/>
            <rFont val="Tahoma"/>
            <family val="2"/>
          </rPr>
          <t xml:space="preserve">La hoja calcula automáticamente el plazo de duración de la actividad  de mejoramiento teniendo en cuenta las fechas de inicio y terminación de la actividad.
</t>
        </r>
      </text>
    </comment>
    <comment ref="M3" authorId="4" shapeId="0" xr:uid="{00000000-0006-0000-0F00-00000A000000}">
      <text>
        <r>
          <rPr>
            <b/>
            <sz val="9"/>
            <color indexed="81"/>
            <rFont val="Tahoma"/>
            <family val="2"/>
          </rPr>
          <t>UNICAUCA: 
-Para dilegenciar la primera vez se llena con la fecha de terminación, situación que varía con los seguiminetos.</t>
        </r>
        <r>
          <rPr>
            <sz val="9"/>
            <color indexed="81"/>
            <rFont val="Tahoma"/>
            <family val="2"/>
          </rPr>
          <t xml:space="preserve">
-Se diligencia la fecha de último seguimiento.- Cuando el avance físico llega a 100% no se módifica las fechas. </t>
        </r>
      </text>
    </comment>
    <comment ref="P3" authorId="3" shapeId="0" xr:uid="{00000000-0006-0000-0F00-00000B000000}">
      <text>
        <r>
          <rPr>
            <sz val="8"/>
            <color indexed="81"/>
            <rFont val="Tahoma"/>
            <family val="2"/>
          </rPr>
          <t>Registre el avance de la ejecución de la actividad, en términos de la Unidad de Medida.</t>
        </r>
      </text>
    </comment>
    <comment ref="Q3" authorId="3" shapeId="0" xr:uid="{00000000-0006-0000-0F00-00000C000000}">
      <text>
        <r>
          <rPr>
            <sz val="8"/>
            <color indexed="81"/>
            <rFont val="Tahoma"/>
            <family val="2"/>
          </rPr>
          <t>Calcula el avance porcentual de la actividad dividiendo la ejecución informada en la columna N sobre la columna J</t>
        </r>
        <r>
          <rPr>
            <sz val="8"/>
            <color indexed="81"/>
            <rFont val="Tahoma"/>
            <family val="2"/>
          </rPr>
          <t xml:space="preserve">
</t>
        </r>
      </text>
    </comment>
    <comment ref="T3" authorId="0" shapeId="0" xr:uid="{00000000-0006-0000-0F00-00000D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 ref="V3" authorId="0" shapeId="0" xr:uid="{00000000-0006-0000-0F00-00000E000000}">
      <text>
        <r>
          <rPr>
            <sz val="9"/>
            <color indexed="81"/>
            <rFont val="Tahoma"/>
            <family val="2"/>
          </rPr>
          <t xml:space="preserve">Verificación de la eficacia de la acción trabajada, con el fin de evaluar si las acciones emprendidas o trabajadas cumplen satisfactoriamente.
Esto lo hace el Centro de Gestión de Calidad y Acreditación Institucional o la Oficina de Control Interno.
</t>
        </r>
      </text>
    </comment>
  </commentList>
</comments>
</file>

<file path=xl/sharedStrings.xml><?xml version="1.0" encoding="utf-8"?>
<sst xmlns="http://schemas.openxmlformats.org/spreadsheetml/2006/main" count="6406" uniqueCount="2748">
  <si>
    <t xml:space="preserve"> </t>
  </si>
  <si>
    <t>Proceso Gestión del Control y del Mejoramiento Continuo
Matriz de Seguimiento de  Plan de Mejoramiento</t>
  </si>
  <si>
    <t xml:space="preserve">              Código:</t>
  </si>
  <si>
    <t>PV-GC-2.6- FOR- 10</t>
  </si>
  <si>
    <t>Versión: 1</t>
  </si>
  <si>
    <t>Fecha de actualización:  21-02-2022</t>
  </si>
  <si>
    <t>Proceso/Dependencia</t>
  </si>
  <si>
    <t>VICERRECTORÍA ACADÉMICA - CENTRO DE POSGRADOS</t>
  </si>
  <si>
    <t>Fecha de suscripción</t>
  </si>
  <si>
    <t>Último seguimiento</t>
  </si>
  <si>
    <t>Responsable del seguimiento:</t>
  </si>
  <si>
    <t>MIGUEL ANGEL ROSALES</t>
  </si>
  <si>
    <t>Nombre del informe</t>
  </si>
  <si>
    <t>INFORME 2.6-52.18/06 de 2017 DE EVALUACIÓN AL SISTEMA DE POSGRAD</t>
  </si>
  <si>
    <t xml:space="preserve">Fecha de vencimiento </t>
  </si>
  <si>
    <t>Estado del Plan</t>
  </si>
  <si>
    <t>Ejecución</t>
  </si>
  <si>
    <t xml:space="preserve">Justificación </t>
  </si>
  <si>
    <t>Formulación Plan de Mejoramiento</t>
  </si>
  <si>
    <t>Seguimiento</t>
  </si>
  <si>
    <t>Efectividad</t>
  </si>
  <si>
    <t>Fuente</t>
  </si>
  <si>
    <t>Tipo de Hallazgo</t>
  </si>
  <si>
    <t>Observación/Hallazgo</t>
  </si>
  <si>
    <t>Causa (s)
(Solo aplica para la No conformidad, Observaciones OCI y hallazgos CGR)</t>
  </si>
  <si>
    <t>Proyecto o Acción</t>
  </si>
  <si>
    <t>Descripción de la Actividad</t>
  </si>
  <si>
    <t>Nombre del Indicador</t>
  </si>
  <si>
    <t>Cantidad de Medida del indicador</t>
  </si>
  <si>
    <t>Responsable de la Actividad</t>
  </si>
  <si>
    <t xml:space="preserve">Periodicidad o frecuencia de realización de la actividad </t>
  </si>
  <si>
    <t>Recursos</t>
  </si>
  <si>
    <t xml:space="preserve"> Evidencia del cumplimiento del Indicador</t>
  </si>
  <si>
    <t>Fecha de inicio programada</t>
  </si>
  <si>
    <t>Fecha de fin programada</t>
  </si>
  <si>
    <t>Plazo en Semanas de la Actividad</t>
  </si>
  <si>
    <t>Fecha de último seguimiento</t>
  </si>
  <si>
    <t>Fecha de cierre de la actividad</t>
  </si>
  <si>
    <t>Semanas de morosidad</t>
  </si>
  <si>
    <t>Sistema de Alerta</t>
  </si>
  <si>
    <t>Avance Físico de Ejecución de las Actividades</t>
  </si>
  <si>
    <t>Porcentaje de Avance Físico de Ejecución de las Actividades</t>
  </si>
  <si>
    <t xml:space="preserve">% tiempo cumplimiento </t>
  </si>
  <si>
    <t>Cumplimiento</t>
  </si>
  <si>
    <t>Evidencia presentada</t>
  </si>
  <si>
    <t>Conclusiones del seguimiento</t>
  </si>
  <si>
    <t>Promedio eficacia y eficiencia</t>
  </si>
  <si>
    <r>
      <t>Gestión
(</t>
    </r>
    <r>
      <rPr>
        <sz val="11"/>
        <color rgb="FFFFFFFF"/>
        <rFont val="Arial"/>
        <family val="2"/>
      </rPr>
      <t>% subsana la causa y hallazgo</t>
    </r>
    <r>
      <rPr>
        <b/>
        <sz val="11"/>
        <color rgb="FFFFFFFF"/>
        <rFont val="Arial"/>
        <family val="2"/>
      </rPr>
      <t>)</t>
    </r>
  </si>
  <si>
    <t>Impacto de la mejora
(se mantiene la mejora )</t>
  </si>
  <si>
    <t>Porcentaje efectividad</t>
  </si>
  <si>
    <t>Comentarios</t>
  </si>
  <si>
    <t>Control Interno</t>
  </si>
  <si>
    <t>Auditoría Interna</t>
  </si>
  <si>
    <t>Ausencia de normas íntegras, unificadas y armónicas que regulen el funcionamiento académico y administrativo del Sistema de Postgrados en cuanto a: La creación, modificación y supresión de programas Academicos Parámetros  para elaborar y validar los contenidos de las propuestas de creación de   programas o  renovación de registros calificados. Reconocimiento de estímulos por la elaboración de documentos para registro calificado</t>
  </si>
  <si>
    <t>Falta de planeación en la gestión normativa que regula los posgrados de la Universidad</t>
  </si>
  <si>
    <t>Actualizar, unificar y complementar la Reglamentación existente, sobre el funcionamiento académico administrativo de los posgrados de la Universidad</t>
  </si>
  <si>
    <t>Elaboración, presentación y aprobación de proyecto de Acuerdo que regule la creación, funcionamiento y supresión de programas de posgrado en la Universidad del Cauca</t>
  </si>
  <si>
    <t>Acuerdo aprobado</t>
  </si>
  <si>
    <t>Vicerrector Académico - Director Centro de Posgrados</t>
  </si>
  <si>
    <t>Eventual</t>
  </si>
  <si>
    <t>Financiero - Humano</t>
  </si>
  <si>
    <t> </t>
  </si>
  <si>
    <t>*Contrato de Prestación de Servicios No. 5,5-31,5/379 de 2023.
*Avance Normograma Centro de Posgrados</t>
  </si>
  <si>
    <r>
      <t xml:space="preserve">*Contratación de profesional en Derecho, para brindar apoyo en la consolidación normativa del Centro de Posgrados
*Estudio inicial de las normas que tienen relación con los procesos y procedimientos que se llevan a cabo en el Centro de Posgrados, para construir procesos normativos es necesario conocer el estado de vigencia en que se encuentra la normativa, para poder contar con fundamentos jurídicos vigentes. 
Pasó de un 45% a un 50% de avance
 Seguimiento Plan de Mejoramiento corte diciembre 2023: 
Se refieren avances en la recopilación de normativas universitarias que reglamentan los programas de posgrado, no obstante, </t>
    </r>
    <r>
      <rPr>
        <b/>
        <sz val="11"/>
        <color rgb="FF000000"/>
        <rFont val="Arial"/>
      </rPr>
      <t xml:space="preserve">no existe avance adicional en relación a la unidad de medida planteada. </t>
    </r>
  </si>
  <si>
    <t>  Ausencia de normas íntegras, unificadas y armónicas que regulen el funcionamiento académico y administrativo del Sistema de Postgrados en cuanto a: Requisitos generales y específicos de inscripción, ingreso y matrícula de los estudiantes de posgrado.</t>
  </si>
  <si>
    <t>Elaboración e implementación de norma y herramientas que regulen los requisitos generales para inscripción a programas de posgrados</t>
  </si>
  <si>
    <t>Norma y herramientas aprobadas e implementadas sobre requisitos de inscripción de aspirantes a programas de posgrado</t>
  </si>
  <si>
    <t>Acta 2.6-1.60/33  del 14 de septiembre de 2018, evidenció una implementación
automatizada a través de la página web de la Universidad, el cual armonizó los
requisitos de inscripción, ingreso y matrícula, y permitió una sistematización que
genera celeridad a todo el proceso.</t>
  </si>
  <si>
    <t>Criterios que precisen el otorgamiento de becas en los programas de posgrado.</t>
  </si>
  <si>
    <t>Elaboración, presentación y aprobación Acuerdo que reglamente el otorgamiento de becas y estímulos en posgrados</t>
  </si>
  <si>
    <t xml:space="preserve">Propuesta de procedimiento notificación de becas de programas de posgrado.
</t>
  </si>
  <si>
    <r>
      <t xml:space="preserve">Acta de seguimiento 2.6-1.60/35 de 2022
Se ha realizado la revisión de la normativa, desde distintos enfoques y se revisó lo correspondiente al funcionamiento como Sistema, determinado que para el proceso de posgrados no aplica.
La OCI sugiere se revisen todas las normas que regulan el funcionamiento de los Posgrados. 
Se presenta Porpuesta de procedimiento notificación de becas de programas de posgrado.
Pasó de un 45% a un 80% de avance
 Seguimiento Plan de Mejoramiento corte diciembre 2023: 
Se refieren avances en la recopilación de normativas universitarias que reglamentan los programas de posgrado, no obstante, </t>
    </r>
    <r>
      <rPr>
        <b/>
        <sz val="11"/>
        <color rgb="FF000000"/>
        <rFont val="Arial"/>
      </rPr>
      <t>no existe avance adicional en relación a la unidad de medida planteada.</t>
    </r>
  </si>
  <si>
    <t>Falta documentación de los procedimientos que guien la operación académico - administrativa del sistema de posgrados.</t>
  </si>
  <si>
    <t>Falta de identificación de los procedimientos necesarios en el funcionamiento de los programas de posgrado</t>
  </si>
  <si>
    <t>Identificar y documentar los procedimientos necesarios en el funcionamiento de los programas de posgrado</t>
  </si>
  <si>
    <t xml:space="preserve">Elaboración e implementación de los procedimientos </t>
  </si>
  <si>
    <t>Procedimiento de admisión y matrícula actualizado e implementado</t>
  </si>
  <si>
    <t>Acta de seguimiento 2.6-1.60/35 de 2022
Se presentan las Actas de reunión que dan respuesta al hallazgo de CGR, respecto de las cuentas de deudores.
Además se procedió a la eliminaron las cuentas de orden de número de recibos y se remitió la información al Área de Crédito y Cartea.
El Centro trabaja en los procedimientos de matrículas financiera y académica que se articulará con la División TICs y DARCA.
Se unificó los procedimientos de voto pregrado y posgrado, inscripción y admisiones y se está evaluando su posible estandarización.
Se presentan propuestas de procedimientos en documento y circulares y plataforma en cuanto a los calendarios
La OCI: El porcentaje de avance pasa del 70% al 90%, lo que resta se otorgará con la formalización de los documentos trabajados con las demás dependencias.
 Seguimiento Plan de Mejoramiento corte diciembre 2023: 
Se remite evidencia citación a capacitación sobre trámites del proceso de posgrados, no obstante, no existe avance adicional en relación a la unidad de medida planteada.</t>
  </si>
  <si>
    <t>Procedimiento de adjudicación de becas y estimulos para estudiantes de Posgrados implementado</t>
  </si>
  <si>
    <t xml:space="preserve">Acta de seguimiento 2.6-1.60/25 de 2022
En la página web de posgrados se exige para la inscripción la solicitud de beca o estímulo y se enuncian los derechos que se tienen por tales beneficios. 
La OCI: Pasa de un 90 a 100% de avance 
</t>
  </si>
  <si>
    <t>Procedimiento de selección docente de Posgrados implementado</t>
  </si>
  <si>
    <t>Propuesta para la vinculación de docentes visitantes en los programas de posgrados.</t>
  </si>
  <si>
    <t>Se realizó en un trabajo en conjunto entre el equipo jurídico del Centro de Posgrados y la Vicerrectoría Académica la propuesta de la normatividad para la vinculación de docentes visitantes en los programas de posgrados. 
Pasa de un 5% a 40% de avance 
 Seguimiento Plan de Mejoramiento corte diciembre 2023: 
Se remite evidencia sobre el apoyo brindado por el Centro de Posgrados en la reglamentación de profesor invitado, no obstante, no existe avance adicional en relación a la unidad de medida planteada.</t>
  </si>
  <si>
    <t>Debilidades en la planeación, ejecución y control en procura de la permanencia de los programas de posgrado</t>
  </si>
  <si>
    <t>Inexistencia de estudios de sostenibilidad de los programas de posgrado con registro calificado vigente</t>
  </si>
  <si>
    <t>Diagnosticar lel estado de los programas de posgrado con registro calificado vigente y analizar su viabilidad para las acciones pertinentes</t>
  </si>
  <si>
    <t>Elaboración del diagnóstico a cada programa de posgrado y recomendar las acciones pertinentes</t>
  </si>
  <si>
    <t>Documento diagnóstico con sus recomendaciones</t>
  </si>
  <si>
    <t>Acta 2.6-1.60/72 del 28 09 2018, evidenció que el Centro de Posgrados realizó un estudio sobre el estado actual de todos los programas de posgrado, así como cohortes vigentes. Este documento fue socializado en el Consejo Académico para determinar la viabilidad del cierre anticipado de los programas sin cohortes o la terminación normal de su registro. Situación analizada por el Centro Gestión de la Calidad y la Acreditación Institucional, quien determinó que es más favorable su terminación por vencimiento normal.</t>
  </si>
  <si>
    <t>Creación de programas con malla curricular similar, estudios de mercado incompletos, falta de criterios de asignación de valores de inscripción y matrícula; y programas sin coordinador.</t>
  </si>
  <si>
    <t>Debilidades en los controles a la gestión de los programas académicos</t>
  </si>
  <si>
    <t>Aplicar controles a la gestión de los programas de posgrados a través de los comités de posgrado</t>
  </si>
  <si>
    <t>Sesionar con el comité de posgrados para temas de los programas de posgrado de las facultades</t>
  </si>
  <si>
    <t>actas a revisar para el próximo seguimiento.</t>
  </si>
  <si>
    <t>Acta de seguimiento 2.6-1.60/07 de 2022
El Centro de Postgrados explica que lo comités de posgrados de facultad realizan los controles a los programas, se evidenciaron 9 actas de diferentes comités con la participación del Centro de Posgrados.
La OCI: Pasa de un 56% de avance a un 100%</t>
  </si>
  <si>
    <t>Realizar el Plan estratégico, investigación de mercados y plan de mercadeo de los programas de posgrados vigentes</t>
  </si>
  <si>
    <t>Elaboración del plan estratégico, de investigación de mercados y plan de mercadeo de los programas de posgrado vigentes</t>
  </si>
  <si>
    <t>Documento Plan Estratégico, investigación de mercado y Plan de mercados</t>
  </si>
  <si>
    <t>El Centro de Posgrados construyó un documento sobre la viabilidad de programas de posgrado, así como estrategias de difusión y mercadeo
2.6-1.60/72 del 28 09 2018</t>
  </si>
  <si>
    <t>Definir políticas a nivel institucional sobre parámetros para asignación de valores de matrícula a programas de posgrado</t>
  </si>
  <si>
    <t>Construcción de politícas  institucional sobre parámetros para asignación de valores de matrícula a programas de posgrado</t>
  </si>
  <si>
    <t>Documento con políticas aprobadas</t>
  </si>
  <si>
    <t xml:space="preserve">Acta de seguimiento 2.6-1.60/25 de 2022
El Centro de Posgrados y la Vicerrectoría Académica; no presentaron propuesta de política de posgrados  (Hasta el 30/09/2022)
La OCI: Se mantiene sin porcentaje de avance.
 Seguimiento Plan de Mejoramiento corte diciembre 2023: 
Se remite evidencia sobre la propuesta de modificar los valores de inscripción a Posgrado, cuyo estudio surte trámite ante la Oficina de Planeación y Desarrollo Institucional para efecto de la viabilidad financiera. No obstante a lo anterior, la OCI se abstiene de otorgar avance dada la actividad y unidad de medida establecida para la mejora que refiere a políticas. </t>
  </si>
  <si>
    <t>Documentos de auto-evaluación de distintos programas con información idéntica.</t>
  </si>
  <si>
    <t>Deficiencias en la revisión de las autoevaluaciones de cada programa</t>
  </si>
  <si>
    <t>Documentar el procedimiento de autoevaluación de los programas de posgrado</t>
  </si>
  <si>
    <t xml:space="preserve"> Elaboración del procedimiento para autoevaluación de los programas de posgrado </t>
  </si>
  <si>
    <t>Procedimiento implementado</t>
  </si>
  <si>
    <t>Se documentó el procedimiento PE-GS-4-PR-2 Acreditación y Renovación de la Acreditación y PE-GS-4-PR-1 Creación, Renovación de Registro Calificado y Reforma de Programas, que en su contenido considera el proceso de autoevaluación.
Además se evidencia seguimiento constante a los procesos de autoevaluación desde el Centro de Gestión de la Calidad y la Acreditación Institucional, coadyuvada con los gestores de Calidad
2.6-1.60/18 del 25 de noviembre de 2019</t>
  </si>
  <si>
    <t>Incipientes estrategias en la  destinacion, difusión y mercadeo de los programas de postgrado.</t>
  </si>
  <si>
    <t>Deficiencias en los planes y proyectos de difusión y mercadeo</t>
  </si>
  <si>
    <t>Implementar estrategias de mercadeo para los programas de posgrado</t>
  </si>
  <si>
    <t xml:space="preserve">Elaboración y ejecución de estrategia de mercadeo para los programas de posgrados  </t>
  </si>
  <si>
    <t>Registro de las estrategias de mercadeo</t>
  </si>
  <si>
    <t>El acta 2.6-1.60/72 del 28 09 2018, evidenció que el Centro de Posgrados ha implementado múltiples estrategias de mercadeo a través Televisión, Radio, prensa y pendones publicitarios.</t>
  </si>
  <si>
    <t>Inconsistencias sustanciales y de técnica jurídica en la expedición de Resoluciones de designación de coordinación de programas de posgrado.</t>
  </si>
  <si>
    <t>Deficiencias en el contro y expedicion de los Actos Admiinistrativos</t>
  </si>
  <si>
    <t>Elaborar minuta referente con los lineamientos de las normas vigentes</t>
  </si>
  <si>
    <t>Elaboración de minuta</t>
  </si>
  <si>
    <t>Minuta elaborada e implementada</t>
  </si>
  <si>
    <t>La División de Gestión del Talento Humano en visita del 26 de septiembre de 2021 presentó  “Comunicado: http://www.unicauca.edu.co/versionP/documentos/comunicados/comunicado-sobre-firma-yo-suscripci%C3%B3n-en-documentos-institucionales-con-la-menci%C3%B3n-del-cargo-corr, además exhibió copia de las minutas a implementar e implementadas sobre de actos administrativos de situaciones administrativas.
Avance: Pasa de un avance del 0% al 100%</t>
  </si>
  <si>
    <t>Debilidad en la formulación e implementación de controles o inadecuada aplicación de los mismos en cuanto a:Seguimiento y cumplimiento de funciones, obligaciones, deberes y prohibiciones de los coordinadores.</t>
  </si>
  <si>
    <t>Controles inefectivos aplicables al funcionamiento de los posgrados</t>
  </si>
  <si>
    <t>Reformular las funciones asignadas a los coordinadores de posgrados en el Acuerdo 052 de 2015, priviligiando la parte académica</t>
  </si>
  <si>
    <t>Revisión y ajuste del Acuerdo 052 de 2015</t>
  </si>
  <si>
    <t>Acuerdo modificado</t>
  </si>
  <si>
    <t xml:space="preserve">Acta de seguimiento 2.6-1.60/25 de 2022
Se ha realizado la revisión de la normativa, desde distintos enfoques y se revisó lo correspondiente al funcionamiento como Sistema, determinado que para el proceso de posgrados no aplica.
En la actualidad el Centro de Postgrados realiza la evaluación de coordinadores; sugiere la Vicerrectoría Académica que dichos resultados sean insumo para la toma de decisiones en los programas de posgrado.
La OCI sugiere se revisen todas las normas que regulan el funcionamiento de los Posgrados. 
La OCI: Mantiene el porcentaje de avance.
 Seguimiento Plan de Mejoramiento corte diciembre 2023: 
Se remite evidencia de matriz que recopila normas generales e institucionales aplicables a los programas de posgrado, no obstante, la OCI se abstiene de otorgar avance dada la actividad y unidad de medida establecida para la mejora que refiere a reforma del Acuerdo 052 de 2015. </t>
  </si>
  <si>
    <t>Debilidad en la formulación e implementación de controles o inadecuada aplicación de los mismos en cuanto a:La selección y vinculación de docentes</t>
  </si>
  <si>
    <t>Documentar procedimiento de selección y vinculación de docentes en posgrados</t>
  </si>
  <si>
    <t>Elaboración del procedimiento para selección y vinculación de docentes, considerando las particularidades de los programas de posgrados</t>
  </si>
  <si>
    <t>Debilidad en la formulación e implementación de controles o inadecuada aplicación de los mismos en cuanto a:Coordinaciones de programas en coexistencia con  situaciones administativas (comisiones académicas, de estudios, año sabático y cargos académico administrativos).</t>
  </si>
  <si>
    <t>Establecer un mecanismo de advertencia para evitar la designación de coordinadores con situación administrativa vigente</t>
  </si>
  <si>
    <t>Adopción de mecanismos de control</t>
  </si>
  <si>
    <t>Punto de Control.
Generar una herramienta de control, aplicada por la Vicerrectoría Académica</t>
  </si>
  <si>
    <t>La División de Gestión del Talento Humano en visita del 26 de septiembre de 2021 presentó las minutas a implementar e implementadas sobre de actos administrativos de situaciones administrativas y los controles aplicados a las mismas.
Avance: Pasa de un avance del 0% al 100%</t>
  </si>
  <si>
    <t xml:space="preserve">Desarticulación de los sistemas  SQUID, SIMCA, FINANZAS PLUS y SRH que administran información académica, administrativa y financiera de los programas </t>
  </si>
  <si>
    <t>Programas independientes, con sistemas distintos que no han permitido la intercomunicación entre ellos, teniendo en cuenta que de algunos tenemos licencias y de otros somos dueños, lo que impide unificar el sistema de comunicación entre ellos</t>
  </si>
  <si>
    <t>Creación de planes de contingencia tendientes a vincular la información y unificarla</t>
  </si>
  <si>
    <t>Unificación de la Información en Sistemas; intercomunicación de los Sistemas de la Universidad</t>
  </si>
  <si>
    <t>Proyecto de Actualización de Sistemas</t>
  </si>
  <si>
    <t xml:space="preserve">Acta de seguimiento 2.6-1.60/25 de 2022
El Centro de Posgrados presentará para la matricula posgrados un módulo de prueba piloto con la integración de los tres sistemas; el proyecto de integración de los sistemas se está abordando desde las mesas de trabajo del nuevo Plan de Desarrollo 
Actualmente el Centro de Posgrados realiza Controles manuales, donde confronta la información de SQUID, Finanza y SIMCA.
Sea abordará dentro del PETI, coordinado por la División de TICs
OCI: El porcentaje de avance pasa del 0 al 33%
 Seguimiento Plan de Mejoramiento corte diciembre 2023: 
Sin observación o evidencia adicional. Se aclara que el proyecto de integración de los sistemas continua en curso. </t>
  </si>
  <si>
    <t xml:space="preserve">Bajo desarrollo e interacción de los responsables de la Gestión de Egresados.  </t>
  </si>
  <si>
    <t>Debilidad en los flujos de comunicación internos</t>
  </si>
  <si>
    <t>Establecer estrategias para identificar a los egresados y para mejorar la comunicación con ellos</t>
  </si>
  <si>
    <t>Mecanismos de Relacionamiento con los egresados</t>
  </si>
  <si>
    <t xml:space="preserve">Establecer en herramientas de comunicación con los egresados </t>
  </si>
  <si>
    <t>El Área de Egresados yl Centro de Posgrados realizó encuentros de egresados, donde se recolecta la información para gestionar la base de datos.
2.6-1.60/18 del 25 de noviembre de 2019</t>
  </si>
  <si>
    <t xml:space="preserve">Decrecimiento del personal docente de planta, sin relevo  </t>
  </si>
  <si>
    <t>Procesos de selección declarados desiertos, falta de reglamentación clara del procedimeinto y parametros de selección</t>
  </si>
  <si>
    <t>Reglamentar y definir el procedimientos</t>
  </si>
  <si>
    <t>Reglamentación de de  procedimeinto y parametros de selección</t>
  </si>
  <si>
    <t>Proyecto de Acuerdo; Procedimiento</t>
  </si>
  <si>
    <t>Acta de seguimiento 2.6-1.60/25 de 2022
El Centro de Posgrados y la Vicerrectoría Académica; no presentaron propuesta de procedimiento de selección e incumplieron los plazos establecidos  (Hasta el 01/10/2022)
La OCI: Mantiene su nivel de avance del 5%
Seguimiento Plan de Mejoramiento corte diciembre 2023: 
Se remite evidencia sobre el apoyo brindado por el Centro de Posgrados en la reglamentación de profesor invitado, no obstante, no existe avance adicional en relación a la unidad de medida planteada.</t>
  </si>
  <si>
    <t>Puntaje total</t>
  </si>
  <si>
    <t>Puntaje Obtenido</t>
  </si>
  <si>
    <t>Proceso de Evaluación
 Gestión del Control y del Mejoramiento Continuo
Matriz de Formulación de Plan de Mejoramiento</t>
  </si>
  <si>
    <t>VICERRECTORÍA ACDÉMICA</t>
  </si>
  <si>
    <t>22/12/2023</t>
  </si>
  <si>
    <t>MARIO CAMILO CAMPO</t>
  </si>
  <si>
    <t xml:space="preserve">INFORME 2.6-52.18/03 de 2016 DE EVALUACIÓN AL PROCEDIMIENTO DE OTORGAMIENTO DE COMISIONES ESTUDIOS </t>
  </si>
  <si>
    <t>30/12/2016</t>
  </si>
  <si>
    <t>Las normas internas sobre Comisión de estudios  presenta vacíos que dificultan  el manejo de situaciones que se presentan en la planeación, ejecución y seguimiento.</t>
  </si>
  <si>
    <t>Debilidades en los controles  e instrumentos aplicados al  procedimiento  de autorización, aprobacion y  ejecución de la comisión de estudios y contraprestación de servicios</t>
  </si>
  <si>
    <t xml:space="preserve">Establecer  regulaciones, instrumentos  y controles efectivos a la Comisión de estudios y contraprestación de servicios . </t>
  </si>
  <si>
    <t>Reglamentar el Estatuto Profesoral, en los  aspectos  no previstos sobre la comisión de estudios</t>
  </si>
  <si>
    <t xml:space="preserve">Propuesta aprobada e implementada  </t>
  </si>
  <si>
    <t>Vicerrectoría Académica</t>
  </si>
  <si>
    <t xml:space="preserve">
Acta de seguimiento 2.6-1.60/02 de 2022
La Vicerrectoría Académica aduce que el proyecto de reglamentación de lo relacionado con Comisiones de Estudio y Académicas aún se encuentra en el trámite para la aprobación por el Consejo Académico y expedición por el Consejo Superior.
La Vicerrectoría Académica con Oficio dirigido a la Oficina Jurídica solicitó  concepto sobre las formas de apliación de la póliza en el contrato del comisión de estudio
Mantiene su nivel de Avance
22/12/2023:  En construcción la propuesta de reforma, cuyo estudio aborda la reglamentación de las garantías para los recursos que generan la financiación de la comisión.  </t>
  </si>
  <si>
    <t>La documentación de los procedimientos presenta una segmentación que  impide la integralidad de  la operación y la aplicación de sus controles.</t>
  </si>
  <si>
    <t>Mejorar los controles  a las diversas etapas del   proceso contractual de la Comisión de Estudios y Contraprestación de Servicios..</t>
  </si>
  <si>
    <t>Integrar  las actividades de los  procedimiento existentes sobre comisiones de estudio.</t>
  </si>
  <si>
    <t>Procedimiento integrado e implementado</t>
  </si>
  <si>
    <t>Proyecto de procedimiento</t>
  </si>
  <si>
    <t xml:space="preserve">Se presenta el proyecto de procedimiento que orienta sobre la operación destinada a la autorización de las comisiones de estudio.
22/12/2023:  Proyecto de procedimiento. </t>
  </si>
  <si>
    <t xml:space="preserve">El  contrato de contraprestación de servicios  presenta inconsistencias en sus fases precontractual, contractual y poscontractual, reflejadas en:
El instrumento que contiene el contrato no es garante de seguridad jurídica de las partes. </t>
  </si>
  <si>
    <t>Revisar la minuta del Contrato de otorgamiento de comisión de estudios y contraprestación de servicios y ajustar su  cláusulado asegurando su integralidad .</t>
  </si>
  <si>
    <t>Minuta revisada y ajustada en sus cláusulas.</t>
  </si>
  <si>
    <t>Oficina Jurídica</t>
  </si>
  <si>
    <t xml:space="preserve">La minuta de contrato aún cuenta con debilidad en lo referente a la entrega del documento de reintegro, poder especial de los docentes en el exterior para facilitar trámites y tiempos de entrega de títulos. 
Acta de seguimiento 2.6-1.60/016 del 20 de noviembre de 2019
22/12/2023:La minuta de contrato aún cuenta con debilidad en lo referente a la entrega del documento de reintegro, poder especial de los docentes en el exterior para facilitar trámites y tiempos de entrega de títulos. 
Acta de seguimiento 2.6-1.60/016 del 20 de noviembre de 2019
</t>
  </si>
  <si>
    <t xml:space="preserve">El contrato de contraprestación de servicios presenta inconsistencias en sus fases precontractual, contractual y poscontractual, reflejadas en:
Incumplimiento de obligaciones del comisionado (suscripición del pagaré, entrega de informes  y acreditación del título).
Ausencia de firmas obligatorias en contratos y aprobación de garantías.
Incumplimiento de obligaciones  por el supervisor. </t>
  </si>
  <si>
    <t>Diseña y aplicar  un instrumento de control , que integre  y facilite el seguimiento de los requisitos y  obligaciones previas, concomitantes y posteriores a la comisión de Estudios y contraprestación de servicios</t>
  </si>
  <si>
    <t xml:space="preserve">Instrumentos de control diseñado y  aplicado. </t>
  </si>
  <si>
    <t xml:space="preserve">La Oficina Jurídica  realiza seguimiento a los contratos a través de una herramienta excel la cual se encuentra actualizada a las vigencias 2005 y 2019, con lo siguiente ítems: 
No. Contrato, Docente, Nivel de estudios y área de estudios, Valor de los Otro Si, Tiempo de Duración, Prorrogas, Resoluciones, Reintegros, Vigencia de póliza, Contraprestación, Lugar de ejecución, Facultad y Constancia de Título.
Se orienta sobre la necesidad de anexar a dicha matriz lo atinente a pagarés.
Acta de seguimiento 2.6-1.60/016 del 20 de noviembre de 2019
La Oficina Jurídica realiza requerimientos a las Facultades cuyos docentes culminaron con la prestación de servicios, para realizar el trámite de liquidación del contrato. Se insiste en documentar el formato de liquidación en la plataforma LVMEN.
Acta de seguimiento 2.6-1.60/016 del 20 de noviembre de 2019
oficio del 14 de diceimbre de 2020 emitido por la Oficina Jurídica. Se elaboro el formaro PA-GA-2.3-FOR-4 - Informes de comision de estudio en la plataforme LVMEN, el que se puede consultar en el siguiente link             http://facultades.unicauca.edu.co/prlvmen/subprocesos/gesti%C3%B3n-jur%C3%Addica 
22/12/2023: La Oficina Jurídica realiza seguimiento a los contratos a través de una herramienta excel la cual se encuentra actualizada a las vigencias 2005 y 2019, con lo siguiente ítems: 
No. Contrato, Docente, Nivel de estudios y área de estudios, Valor de los Otro Si, Tiempo de Duración, Prorrogas, Resoluciones, Reintegros, Vigencia de póliza, Contraprestación, Lugar de ejecución, Facultad y Constancia de Título.
Se orienta sobre la necesidad de anexar a dicha matriz lo atinente a pagarés.
Acta de seguimiento 2.6-1.60/016 del 20 de noviembre de 2019
La Oficina Jurídica realiza requerimientos a las Facultades cuyos docentes culminaron con la prestación de servicios, para realizar el trámite de liquidación del contrato. Se insiste en documentar el formato de liquidación en la plataforma LVMEN.
Acta de seguimiento 2.6-1.60/016 del 20 de noviembre de 2019
oficio del 14 de diciembre de 2020 emitido por la Oficina Jurídica. Se elaboro el formato PA-GA-2.3-FOR-4 - Informes de comisión de estudio en la plataforma LVMEN. 
</t>
  </si>
  <si>
    <t>El contrato de contraprestación de servicios presenta inconsistencias en sus fases precontractual, contractual y poscontractual, reflejadas en:
Contratos sin liquidar.</t>
  </si>
  <si>
    <t xml:space="preserve">Formalizar liquidación de contratos de comisión de estudios y contraprestación de servicios. </t>
  </si>
  <si>
    <t xml:space="preserve"> contratos de contraprestación de estudios liquidados</t>
  </si>
  <si>
    <t>Vicerrectoría Académica - Oficina Jurídica</t>
  </si>
  <si>
    <t xml:space="preserve">La Oficina Jurídica realiza requerimientos a las Facultades cuyos docentes culminaron con la prestación de servicios, para realizar el trámite de liquidación del contrato. Se insiste en documentar el formato de liquidación en la plataforma LVMEN.
Acta de seguimiento 2.6-1.60/016 del 20 de noviembre de 2019
22/12/2023: La Oficina Jurídica realiza requerimientos a las Facultades cuyos docentes culminaron con la prestación de servicios, para realizar el trámite de liquidación del contrato. Se insiste en documentar el formato de liquidación en la plataforma LVMEN.
Acta de seguimiento 2.6-1.60/016 del 20 de noviembre de 2019. 
</t>
  </si>
  <si>
    <t>Las resoluciones de comisión de estudios presentan  fallas de técnica jurídica (motivación, se confunden medidas administrativas de revocatoria, modificación, aclaración y adición), vacíos de información (sobre lugares o niveles de estudio) o confusión de información que llevan a reiteradas modificaciones o  aclaraciones; o a la elaboración de dos contratos simultáneos, mismo objeto  a un  comisionado.
el inicio de la comisión  es  concomitante o anterior  a la  resolución que autoriza o prorroga.</t>
  </si>
  <si>
    <t>Establecer  regulaciones  e instrumentos  de apoyo a la Comisión de estudios, en el marco de los principios de la función pública.</t>
  </si>
  <si>
    <t xml:space="preserve">Verificar el contenido  de las resoluciones de comisión de estudios   </t>
  </si>
  <si>
    <t>Resoluciones atemperadas a las normas</t>
  </si>
  <si>
    <t xml:space="preserve">Formatos de tramite de solicitud de comisión de estudios desactualizados </t>
  </si>
  <si>
    <t xml:space="preserve">Revisar y atemperar los formatos de comisión de estudios a las disposiciones vigentes y a las políticas de racionalización de trámite y cero papel. </t>
  </si>
  <si>
    <t>Formato  revisado y ajustado</t>
  </si>
  <si>
    <t xml:space="preserve">Proyecto formato lista de chequeo control de contrato de Comisión de Estudios y requisitos previos </t>
  </si>
  <si>
    <t>Se presenta la propuesta de documentación de  formatos para apoyar el procedimiento de autorización de comisiones de estudio.
Pasa de 0% a un 30% de avance  
22/12/2023:  Se presenta la propuesta de documentación de formatos para apoyar el procedimiento de autorización de comisiones de estudio.</t>
  </si>
  <si>
    <t>Informes del interventor y docente no obedece a criterios mínimos de presentación.</t>
  </si>
  <si>
    <t>Prescribir criterios generales para la  presentación de informes de interventoría de comisión de estudios.</t>
  </si>
  <si>
    <t>Normalizar los  mínimos  contenidos de  informes de supervisión de la comisión de estudios.</t>
  </si>
  <si>
    <t>Regulación sobre criterios de presentación de informes</t>
  </si>
  <si>
    <t>5. PA-GA-2.5-FOR-4 Formatos Informe de Comision de Estudios V2,  6. PA-GA-2.5-FOR-5 Reintegro a las Labores Academicas V2 y 7. PA-GA-2.5-FOR-6 Terminación de la contraprestación V2</t>
  </si>
  <si>
    <t>La Oficina Jurídica creo formatos estándar para la entrega de informes y el proceso de de reintrego, los cuales fueron formalizado en el año 2022
Pasa de 90% a un 100% de avance</t>
  </si>
  <si>
    <t>Deficiencias de organización de las carpetas contractuales.</t>
  </si>
  <si>
    <t>Aplicar las normas de gestión documental a los contratos de comisión de estudios.</t>
  </si>
  <si>
    <t>Organizar las carpetas de los contratos, con base en un instrumento de control  que se atempere a la norma de gestión documental.</t>
  </si>
  <si>
    <t xml:space="preserve">Porcentaje de carpetas contractuales  organizadas.  </t>
  </si>
  <si>
    <t>8. PA-GA-2.5-FOR-7 Acta de Liquidación Final V2 y 9. PA-GA-2.5-FOR-3 Lista de Chequeo Control de Contratos de Comisión de Estudios V2 (2)</t>
  </si>
  <si>
    <t xml:space="preserve">De la revisión de 11 carpetas contractuales se encuentra que el 90% de las carpetas revisadas cuentan con los informes de supervisión y la documentación requerida en el Acuerdo 064 de 2008, sin embargo, se logra evidenciar que faltan firmas de aprobación de garantías, a lo cual la Oficina Jurídica se encuentra realizando requerimientos.
Se aporta lista de chequeo para el control de la liquidación y acta de liquidación final
Mantiene su nivel de avance
22/12/2023:De la revisión de 11 carpetas contractuales se encuentra que el 90% de las carpetas revisadas cuentan con los informes de supervisión y la documentación requerida en el Acuerdo 064 de 2008, sin embargo, se logra evidenciar que faltan firmas de aprobación de garantías, a lo cual la Oficina Jurídica se encuentra realizando requerimientos.
Se aporta lista de chequeo para el control de la liquidación y acta de liquidación final. 
</t>
  </si>
  <si>
    <t>Historias laborales con represamiento de documentos desde el año 2014.</t>
  </si>
  <si>
    <t>Actualizar  las historias laborales y carpetas contractuales relativas a la comisión de estudios.</t>
  </si>
  <si>
    <t>Incorporar documentos físicos derivados de comisiones de estudio en las historias laborales</t>
  </si>
  <si>
    <t>Porcentaje de historias laborales actualizadas</t>
  </si>
  <si>
    <t>De las 21 historias laborales revisadas se evidencia información hasta la vigencia 2018 y parte de 2019, aunque alguna no anexada en las carpetas. 
22/12/2023: De las 21 historias laborales revisadas se evidencia información hasta la vigencia 2018 y parte de 2019, aunque alguna no anexada en las carpetas.</t>
  </si>
  <si>
    <t>Inconsistencias de  información de las diferentes fuentes, en cuanto al  títulos académicos. (historias  laborales, contratos de comisión y SRH de la División de Recursos Humanos)</t>
  </si>
  <si>
    <t>Actualizar el SRH en cuanto a  información sobre  títulos de comisionados.</t>
  </si>
  <si>
    <t>SRH Actualizado</t>
  </si>
  <si>
    <t xml:space="preserve">Se realizó actualización en 11 docentes revisados de la información contenida en el SRH. </t>
  </si>
  <si>
    <t>VICERRECTORÍA ACADÉMICA</t>
  </si>
  <si>
    <t>INFORME 2.6-52.18/12 DE 2018 DE AUDITORÍA PROCEDIMIENTO DE EVALUACIÓN AL DESEMPEÑO DOCENTE EN LA UNIVERSIDAD DEL CAUCA</t>
  </si>
  <si>
    <t>La norma interna sobre la evaluaciòn del desempeño presenta vacios e imprecisiones que impiden la aplicaciòn  clara y atemperada a las dinàmicas institucionales tampoco  incluye las actividades de apoyo a programas de posgrado, regionalizaciòn y extensiòn por fuera de la labor docente, se presenta como un simple requisito formal de experiencia calificada para la obtenciòn de puntos salariales y no se reglamenta como criterio de permanencia</t>
  </si>
  <si>
    <t>MM. Presencia de vacios e impresiciónes y disperción en la norma interna sobre la evaluación del desempeño docente.</t>
  </si>
  <si>
    <t>Ajustar y armonizar la norma que regula la evaluaciòn del desempeño docente con apego a necesidades institucionales actuales incluyendo las actividades de apoyo a programas de posgrado, regionalizaciòn y extensiòn por fuera de la labor docente  y sea de mayor impacto en la obtenciòn de puntos salariales y como criterio de permanencia.</t>
  </si>
  <si>
    <t xml:space="preserve">
Armonización de las normas que regulan el procedimiento de evaluación al desempeño docente</t>
  </si>
  <si>
    <t>Normas de evaluación docente ajustada integradas  y aprobadas</t>
  </si>
  <si>
    <t>VICERRECTOR ACADÉMICO - DECANOS</t>
  </si>
  <si>
    <t xml:space="preserve">
Acta de seguimiento 2.6-1.60/02 de 2022
la Vicerrectora Académica orienta a su equipo de trabajo para el desarollo de la reglamentación individual en cada facultad de acuerdo a lo prescrito en el Acuerdo Superior 090 de 2005; también explícita que, se realizará la construcción de herramientas generales estandarizadas y documentadas para el uso propio de acuerdo a las necesidades de cada Unidad Académica.
Con relación a la expedición de los Actos Administrativos de Evaluación docente, el equipo OCI recomienda realizar capacitaciones a los responsables de su expedición, a lo cual, miembros de la Vicerrectoría Académica expresan que se ha venido trabajando en ello y que realizaran jornadas de capacitación adicionales.
22/12/2023:  La Vicerrectora Académica orienta a su equipo de trabajo para el desarrollo de la reglamentación individual en cada facultad de acuerdo con lo prescrito en el Acuerdo Superior 090 de 2005; también explícita que, se realizará la construcción de herramientas generales estandarizadas y documentadas para el uso propio de acuerdo a las necesidades de cada Unidad Académica.</t>
  </si>
  <si>
    <t>La evaluación del estudiantado no tine preponderancia sobre los resultados generales</t>
  </si>
  <si>
    <t xml:space="preserve">MM. Las facultades no tienen un  valor trascendente y unificado de la evaluaciòn que hace el estudiante al cuerpo de docentes. </t>
  </si>
  <si>
    <t xml:space="preserve">Incrementar el  valor porcentual a la evaluacion del estudiante con respecto a los demas componentes </t>
  </si>
  <si>
    <t>Reglamentación que considere  a la evaluación estudiantil con mayor peso porcentual que las demas fuentes</t>
  </si>
  <si>
    <t xml:space="preserve">
Acta de seguimiento 2.6-1.60/02 de 2022
la Vicerrectora Académica orienta a su equipo de trabajo para el desarollo de la reglamentación individual en cada facultad de acuerdo a lo prescrito en el Acuerdo Superior 090 de 2005; también explícita que, se realizará la construcción de herramientas generales estandarizadas y documentadas para el uso propio de acuerdo a las necesidades de cada Unidad Académica.
Con relación a la expedición de los Actos Administrativos de Evaluación docente, el equipo OCI recomienda realizar capacitaciones a los responsables de su expedición, a lo cual, miembros de la Vicerrectoría Académica expresan que se ha venido trabajando en ello y que realizaran jornadas de capacitación adicionales.
22/12/2023: Con relación a la expedición de los Actos Administrativos de Evaluación docente, el equipo OCI recomienda realizar capacitaciones a los responsables de su expedición, a lo cual, miembros de la Vicerrectoría Académica expresan que se ha venido trabajando en ello y que realizaran jornadas de capacitación adicionales.</t>
  </si>
  <si>
    <t>El Procedimiento documentado no es referente de operaciòn</t>
  </si>
  <si>
    <t>MM. El procedimiento no describe controles,actividades y responsables demanera correcta</t>
  </si>
  <si>
    <t>Documentar y unificar un procedimineto de evaluación al desempeño docente conforme a las metodologias de calidad que permitan establecer demanera clara actividades, controles y responsables</t>
  </si>
  <si>
    <t>Buscar, consolidar, modificar, aprobar y socializar un solo procedimiento de evaluación con base en la identificación de requisitos comunes entre todos los procedimientos revisados, ajustarlo conforme a las regulaciones vigentes siguiendo las metodologias y  tecnicas de calidad</t>
  </si>
  <si>
    <t>Procedimiento  de evaluación docente ajustado y aprobado</t>
  </si>
  <si>
    <t xml:space="preserve">22/12/2023:  Sin evidencia de ejecución </t>
  </si>
  <si>
    <t>La autoevaluaciòn no es una fuente objetiva de evaluaciòn del desempeño docente</t>
  </si>
  <si>
    <t>MM. La autoevaluación no es un referente objetivo para el resultado de la evaluación docente</t>
  </si>
  <si>
    <t>Revisar los terminos de aplicaciòn de la autoevaluaciòn en garantia de la objetividad del proceso y la conveniencia institucional.</t>
  </si>
  <si>
    <t>Definición de unos minimos criterios para la autoevaluación que permita su objetividad, teniendo en cuenta las  debilidades y fortalezas  soportado en evidencias</t>
  </si>
  <si>
    <t>Herramienta de autoevaluación armonizada ajustada y aplicada</t>
  </si>
  <si>
    <t>La encuesta estudiantil aplicada a travès de la plataforma SIMCA presenta fallas en su diseño e implementaciòn</t>
  </si>
  <si>
    <t>MM.El cuestionario estudiantil  para evaluar a los docentes no contiene criterios claros y presisos que permitan una adecuada evaluación</t>
  </si>
  <si>
    <t>Asustar a la herramienta aplicada por los estudiantes en la plataforma SIMCA</t>
  </si>
  <si>
    <t>Revisión y ajuste  del cuestionario de evaluación y su aplicabilidad</t>
  </si>
  <si>
    <t>Cuestionario Revisado y ajustado</t>
  </si>
  <si>
    <t>Las resoluciones de experiencia calificada no cuentan con debida motivaciòn</t>
  </si>
  <si>
    <t xml:space="preserve">MM. Las resoluciones carecen de tecnica juridica para su elaboración </t>
  </si>
  <si>
    <t>Revisar el texto de las resoluciones de experiencias calificada en la pertinencia de fundamentar la calificaciòn final.</t>
  </si>
  <si>
    <t>Expedición de resolución que fundamenten a la experiencia calificada</t>
  </si>
  <si>
    <t>Resoluciónes ajustadas</t>
  </si>
  <si>
    <t>No se han identificado riesgos asociados al proceso de evaluaciòn al desempeño docente</t>
  </si>
  <si>
    <t>MM.  Debilidad en la gestión del riesgo</t>
  </si>
  <si>
    <t>Identificar los riesgos de gestiòn y corrupciòn asociados al proceso de evaluaciòn al desempeño docente.</t>
  </si>
  <si>
    <t>Inclusión de riesgos asociados al proceso de evaluaciòn al desempeño docente en la matriz de riesgos de la universidad</t>
  </si>
  <si>
    <t>Riesgos identificados y gestionados</t>
  </si>
  <si>
    <t>INFORME 2.6-52.18/08 DE 2018 DE EVALUACIÓN AL PROCEDIMIENTO DE COMISIONES ACADÉMI</t>
  </si>
  <si>
    <t>Inexistencia de un Plan de capacitación institucional consolidado y articulado con los planes de acción de las facultades y las oportunidades de mejora resultantes del informe de autoevaluación para el proceso de reacreaditación Institucional.</t>
  </si>
  <si>
    <t xml:space="preserve">Falta de directriz completa que permita la consolidación de un plan de capacitación </t>
  </si>
  <si>
    <t xml:space="preserve">Consolidar un plan de capacitación acorde con las necesidades de cualificación de los docentes donde se integren todas las actividades y programas. </t>
  </si>
  <si>
    <t xml:space="preserve">Elaboración y ejecución de un plan de capacitación docente. </t>
  </si>
  <si>
    <t>Plan de capacitación elaborado y ejecutado.</t>
  </si>
  <si>
    <t xml:space="preserve">Acta de seguimiento 2.6-1.60/02 de 2022
Observación OCI: Se explica que, para la elaboración del plan de capacitación institucional, es necesario contar con un diagnostico que oriente cuales son las fuentes de información que se deben considerar para su conformación. Es necesario que la información sobre comisiones y año sabático queden plasmadas en un documento estratégico por facultades y a nivel institucional.
22/12/2023:  Se reportó la propuesta de documentar diagnóstico para identificar y articular en el Plan de Capacitación Institucional las situaciones administrativas del profesor que inciden en los procesos de formación y capacitación. </t>
  </si>
  <si>
    <t>Inexistencia de reglamentación o procedimientos documentados que ayuden a la formulación de los Planes de capacitación docente y a la operación de las comisiones académicas.</t>
  </si>
  <si>
    <t xml:space="preserve">Reglamentar las actividades de formulación y ejecución del plan de capacitación docente </t>
  </si>
  <si>
    <t xml:space="preserve">Elaboración de una herramienta que permita la fomulación y ejecución del plan de capacitación docente </t>
  </si>
  <si>
    <t xml:space="preserve">Procedimiento documentado y ejecutado </t>
  </si>
  <si>
    <t>Proyecto Resolución Rectoral y propuesta de procedimiento documentado</t>
  </si>
  <si>
    <t xml:space="preserve">
Se realizó la baja del procedimiento “Capacitación Profesoral”, se sugiere el levantamiento de un procedimiento que apunte a la construcción del Plan estratégico de Capacitación profesoral.
Se remite proyecto de procedimiento y la  propuesta de reglamentación para los requisitos de autorización y concesión de comsiones académicas, considerando entre otros aspectos, los requerimientos emitidos por el Consejo Superior.
Pasó de 60% a un 80% de avance
22/12/2023:  Documentación de la propuesta de procedimiento para la autorización y concesión de comisiones académicas. </t>
  </si>
  <si>
    <t xml:space="preserve">La normativa interna y los procedimientos no regulan integralmente los aspectos relativos a la comisión académica </t>
  </si>
  <si>
    <t xml:space="preserve">Carencia de reglamentación clara, la cual determine las condiciones para las comisiones académicas </t>
  </si>
  <si>
    <t xml:space="preserve">Identificar y reglamentar el procedimiento de comisión académica </t>
  </si>
  <si>
    <t>Elaboración del reglamento que permita regular el procedimiento de comisión académica</t>
  </si>
  <si>
    <t xml:space="preserve">Acuerdo aprobado </t>
  </si>
  <si>
    <t>Proyecto Resolución Rectoral</t>
  </si>
  <si>
    <t xml:space="preserve">Se presentó ante la Rectoría propuesta de reglamentación para los requisitos de autorización y concesión de comsiones académicas, considerando entre otros aspectos, los requerimientos emitidos por el Consejo Superior.
Pasó de 80% a un 85% de avance
22/12/2023:  Expedición de la Resolución Rectoral 901 de 2023, que reglamenta los requisitos de concesión y autorización de la comisión académica. </t>
  </si>
  <si>
    <t>Herramientas inadecuadas para el  control de las comisiones.</t>
  </si>
  <si>
    <t xml:space="preserve">No hay armonizacion entre las herramientas y el procedimiento de comisiones académicas, lo que no permite un control adecuado a las mismas. </t>
  </si>
  <si>
    <t xml:space="preserve">determinar herramienta que permita el seguimiento y contro al otorgamiento y entrega de informes de las comisiones academicas </t>
  </si>
  <si>
    <t xml:space="preserve">Ajuste y aplicación de las herramientas utilizadas para el otorgamiento y entrega de informes de comisiones académicas   </t>
  </si>
  <si>
    <t xml:space="preserve">Herramientas ajustadas  </t>
  </si>
  <si>
    <t xml:space="preserve"> PM-FO-4-FOR-25 Informe de Comisión Académica, PM-FO-4-FOR-18 Solicitud de Autorización para Comisión Académica al Interior del País y  PM-FO-4-FOR-20 Solicitud de autorización comisión académica al exterior del país-0</t>
  </si>
  <si>
    <t xml:space="preserve">Se presentan los formatos de informes y solicitudes.
Pasó de 50% a un 100% de avance
Observación OCI: pese a que se otorra un 100% de avance, este puede variara dependendiendo la aprobación de la reglamentación. </t>
  </si>
  <si>
    <t>Falta de técnica jurídica en elaboración de las resoluciones de otorgamiento de comisiones académicas.</t>
  </si>
  <si>
    <t xml:space="preserve">Falta de motivación en los actos administrativos de otorgamiento de comisiones académicas  </t>
  </si>
  <si>
    <t xml:space="preserve">Modificación de la parte motiva de las resoluciones expedidas para comisión académica </t>
  </si>
  <si>
    <t xml:space="preserve">Elaboración de la modificación de la parte motiva de las resoluciones de la comisión académica </t>
  </si>
  <si>
    <t xml:space="preserve">Resolución Modificada </t>
  </si>
  <si>
    <t>Oficio de reporte 2.4/1390 de 09 de diceimbre de 2020 Se adjunta modelo de resoluciones utilizadas para comisiones académicas al interior y al exterior</t>
  </si>
  <si>
    <t>No se realiza seguimiento a los compromisos y obligaciones del beneficiario.</t>
  </si>
  <si>
    <t xml:space="preserve">Inexistencia  de acompañamiento a los compromisos y obligaciones de cada uno de los beneficiarios, por parte de la Facultad  </t>
  </si>
  <si>
    <t xml:space="preserve">creación de un mecanismo que permita desde las Facultades hacerle seguirmiento a cada comisíón </t>
  </si>
  <si>
    <t>Control mensual a los compromisos y obligaciones de los beneficiario</t>
  </si>
  <si>
    <t xml:space="preserve">aplicativo en excel </t>
  </si>
  <si>
    <t>¿'</t>
  </si>
  <si>
    <t xml:space="preserve">Oficio de reporte 4-52/635 de 21 de junio de 2021  
La Vicerrectoría Académica utiliza base de datos para el registro de lss comisiones académicas al exterior y al interior, desde el año 2017. A partir del año 2021 se adiciona y ajusta casilla a la herramienta que permite el seguimiento a través de los registros de los informes de comisión. </t>
  </si>
  <si>
    <t>Debilidades en la gestión documental en las unidades académicas.</t>
  </si>
  <si>
    <t xml:space="preserve">Inaplicación de las normas de gestión documental </t>
  </si>
  <si>
    <t>Organizar el archivo de gestión conforme a la normatividad vigente</t>
  </si>
  <si>
    <t xml:space="preserve">Aplicación de las técnicas de archivo en las unidades académicas </t>
  </si>
  <si>
    <t xml:space="preserve">archivo ajustado a las normas documentales vigentes </t>
  </si>
  <si>
    <t>Oficio de reporte 4-52/635 de 21 de junio de 2021  
Se presentan pantallazo de las carpetas digitales creadas para cada comisión académica autorizada en el año 2021, identificada por el nombre del docente beneficiario de la comisión</t>
  </si>
  <si>
    <t>INFORME 2.6-52.18/24 DE 2018 DE EVALUACIÓN AL PROCEDIMIENTO DE OTROGAMIENTO DE ESTÍMULCOS ACADÉMICOS</t>
  </si>
  <si>
    <t xml:space="preserve">Inexistencia de normatividad para los estímulos económicos </t>
  </si>
  <si>
    <t xml:space="preserve">Ausencia de normatividad especial, aplicable a los estimulos economicos </t>
  </si>
  <si>
    <t xml:space="preserve">reglamentar las actividades sobre los estimulos economicos </t>
  </si>
  <si>
    <t>Elaboración de acuerdo sobre estimulos economicos que permita mejorar el proceso.</t>
  </si>
  <si>
    <t>Acuerdo Aprobado</t>
  </si>
  <si>
    <t>Vicerrector Académico</t>
  </si>
  <si>
    <t>Proyecto de Acuerdo</t>
  </si>
  <si>
    <t xml:space="preserve"> Dado el estudio y elaboración del procedimiento de estímulos economicos, permite identificar elementos para la construcción de un diagnostico administrativo financiero
Se elaboró el de proyecto de reglamentación de profesor invitado, en la cual se incluye la escala de liquidación por concepto de estímulos económicos por concepto de docencia, investigación y extensión.
Mantiene el nivel de avance.
Observación de la OCI: No se evidencia una propuesta de reglamentación en los términos del Acuerdo 088 de 1993
22/12/2023:  Sin evidencia del diagnóstico referente para el proceso de reglamentación.</t>
  </si>
  <si>
    <t xml:space="preserve">Inexistencia del procedimiento documentado de los estímulos económicos </t>
  </si>
  <si>
    <t>Ausencia de la cración del proceso de estimulos economicos en la plataforma lvmen</t>
  </si>
  <si>
    <t xml:space="preserve"> Documentar el procedimiento  de estimulos economicos publicado</t>
  </si>
  <si>
    <t>Elaboración del procedimiento de estimulos economicos</t>
  </si>
  <si>
    <t>Procedimiento ejecutado</t>
  </si>
  <si>
    <t>Proyecto procedimiento y 
Lista de chequeo</t>
  </si>
  <si>
    <t xml:space="preserve">22/12/2023: Proyecto de procedimiento, pendiente formalización ante el Sistema de Gestión de la Calidad. </t>
  </si>
  <si>
    <t xml:space="preserve">Falta de capacitación para el tramite de estímulos económicos </t>
  </si>
  <si>
    <t xml:space="preserve">Ausencia de capacitación para tramitar los estímulos económicos en debida forma. </t>
  </si>
  <si>
    <t xml:space="preserve">Realizar jornadas de Capacitación referente al procedimiento de estímulos económicos </t>
  </si>
  <si>
    <t xml:space="preserve">Capacitaciones en las dependencia, con el fin de mejorar el proceso de estímulos económicos </t>
  </si>
  <si>
    <t>Capacitaciones realizadas</t>
  </si>
  <si>
    <t xml:space="preserve">
Oficio de reporte 4-52/635 de 21 de junio de 2021 
Cada semestre la Vicerrectoría académica capacita al personal de apoyo de las facultades, en tramites tales como : estímulos económicos, expertos nacionales e internacionales, memebresias, apoyos economicos y becas </t>
  </si>
  <si>
    <t xml:space="preserve">Falta de identificación de los riesgos asociados en los estimulos económicos </t>
  </si>
  <si>
    <t xml:space="preserve">Carencia de identificación de riesgos asociados a los estimulos economicos </t>
  </si>
  <si>
    <t xml:space="preserve">Actualizar el mapa de riesgos en relación a los estímulos económicos </t>
  </si>
  <si>
    <t xml:space="preserve">Actualización de los riesgos realacionados con los estimulos economicos en el mapa de riesgos </t>
  </si>
  <si>
    <t>Mapa de riesgos actualizado</t>
  </si>
  <si>
    <t>Acta de seguimiento 2.6-1.60/2 de 2022
Se detectó el riesgo de gestión: “Incumplimiento de requisitos para el trámite de los estímulos económicos”, el cual presenta falencia en la construcción de controles, por cuanto son acciones preexistentes asociadas a un deber legal; se recomienda su reformulación conforme a las orientaciones de la Metodología para la Administración del Riesgo de la Universidad del Cauca.</t>
  </si>
  <si>
    <t xml:space="preserve">Inexistencia de un archivo con la información que agilice y eviete el reproceso y flujo innecesario de documentos para los estimulos económicos </t>
  </si>
  <si>
    <t xml:space="preserve">No se se cuenta con una herramienta para  agilizar el procedimiento de los estímulos económicos </t>
  </si>
  <si>
    <t xml:space="preserve">Documentar a través de archivo digital, los documentos referentes a estimulos economicos </t>
  </si>
  <si>
    <t xml:space="preserve">Creación archivo digital por dependencias,a través de google drive que permita agilizar el proceso de los estímulos económicos </t>
  </si>
  <si>
    <t>archivo digital  implementado</t>
  </si>
  <si>
    <t>Anexo matriz de control estímulos económicos</t>
  </si>
  <si>
    <t xml:space="preserve">
Oficio de reporte 4-52/635 de 21 de junio de 2021 
Una vez aprobado el procedimiento de estímulos económicos, se estableces replantear la actividad   Dado que un archivo digital para este procedimiento no es el acorde, ya que los documentos se deben actualizar, una vez aprobado el procdimeinto se podrá determinar el archivo en fisico y digital a cargo de que dependencia debe estar.
La Vicerrcetoría cuenta con una matriz de control, que da cuenta de la trazabilidad de estímulos autorizados. 
Mantiene nivel de Avance.
Observación OCI: La Vicerrectoría no presentó un análsis que sustente el cambio de la acción en el PM  
22/12/2023:  Sin evidencia de la ejecución, requiere reformularse en términos de las normas de gestión documental.</t>
  </si>
  <si>
    <t>UNIDAD DE SALUD</t>
  </si>
  <si>
    <t xml:space="preserve">INFORME 2.6-52.18/25 de 2019  de Evaluación al Talento </t>
  </si>
  <si>
    <t>Auditoría Interna Control Interno</t>
  </si>
  <si>
    <t>La Unidad no cuenta con norma especial que regule la gestión humana, y los Acuerdos Superiores 006 y 007 de 2006 de 2007 vigentes en la materia para la Universidad del Cauca, no se aplican con sujeción al Acuerdo 010 de 2010 Par. 1 Art. 26; tampoco el Decreto 1083 de 2015 en sus nuevas dinámicas</t>
  </si>
  <si>
    <t>No se ha adoptado los criterios normativos a aplicar en el manejo de la Gestión Humana de la Unidad de Salud de acuerdo a los procesos de la Universidad del Cauca. La UDS no ha adoptado los Acuerdos 006 y 007 de 2006 en su totalidad.</t>
  </si>
  <si>
    <t>Implementar el Sistema Obligatorio de Garantía de Calidad en Salud - Habilitación - Estándar de Taleto Humano para garantizar la adopción de los procesos y procedimientos de TTHH de la Universidad del Cauca.</t>
  </si>
  <si>
    <t>Implementación del Sistema Obligatorio de Garantía de Calidad en Salud (SOGCS) y Adopción de los Acuerdos de TTHH de la UdelC.</t>
  </si>
  <si>
    <t>Aprobación SOGCS</t>
  </si>
  <si>
    <t>Director Unisalud</t>
  </si>
  <si>
    <t xml:space="preserve">Acto administrativo de adopccion Y cumplimiento a los Acuerdos de la UDC y de la UDS </t>
  </si>
  <si>
    <r>
      <rPr>
        <sz val="11"/>
        <color rgb="FF000000"/>
        <rFont val="Arial"/>
      </rPr>
      <t>Acta Estatuto Contratación Unicauca 20/04/23
Sin reporte de evidencias para el seguimiento II semestre 2023</t>
    </r>
  </si>
  <si>
    <r>
      <rPr>
        <sz val="11"/>
        <color rgb="FF000000"/>
        <rFont val="Arial"/>
      </rPr>
      <t xml:space="preserve">Presenta las siguientes propuestas:
- Organigrama adecuado a SOGCS.  y de de actualización a la plataforma estratégica de la unidad (misión, visión, organigrama…)
- Documento de los derechos de los usuarios, política de calidad, valores y principios corporativos.
Sujeto al estudio y aval por el Consejo de Salud y Consejo Superior
El documento definitivo está en revisión por el Área Jurídica de la Universidad del Cauca
Seguimiento 2023-2: Se solicitó información con oficio 2.6-52.18/322 del 16/11/2023, sin obtener respuesta de avances. </t>
    </r>
  </si>
  <si>
    <t>Sin adopción del Modelo de operación por procesos, el Organigrama contempla una Jefatura Financiera y áreas que no cuentan con aprobación oficial, lo que resta claridad a su quehacer, P. ej: el Área de Trabajo Social dependiente de la Subdirección Científica orienta actividades principales de afiliación, marginada de las que incumben a programas y políticas de bienestar y desarrollo social de los usuarios; Área de Sistemas, Área de Contratación, Área de presupuesto, Área de Auditoría de Cuentas y Recobros, Área de Almacén, Tesorería y Oficina de Atención al Usuario, a los cuales se asignan empleados y contratistas.</t>
  </si>
  <si>
    <t>Implementar el Sistema Obligatorio de Garantía de Calidad en Salud - Habilitación - Estándar de Taleto Humano para garantizar la adopcikón de los procesos y procedimientos de TTHH de la Universidad del Cauca.</t>
  </si>
  <si>
    <t xml:space="preserve">Acto administrativo de adopccion y cumplimiento a los Acuerdos de la UDC y de la UDS </t>
  </si>
  <si>
    <r>
      <rPr>
        <sz val="11"/>
        <color rgb="FF000000"/>
        <rFont val="Arial"/>
      </rPr>
      <t xml:space="preserve"> Acta Sesión Extraordinaria CS 16/05/23 Entregada
Acta 025 Centro de Gestión de Calidad 15/06/23
Sin reporte de evidencias para el seguimiento II semestre 2023</t>
    </r>
  </si>
  <si>
    <r>
      <rPr>
        <sz val="11"/>
        <color rgb="FF000000"/>
        <rFont val="Arial"/>
      </rPr>
      <t xml:space="preserve">Presenta las siguientes propuestas:
- Organigrama adecuado a SOGCS.  y de de actualización a la plataforma estratégica de la unidad (misión, visión, organigrama…)
- Documento de los derechos de los usuarios, política de calidad, valores y principios corporativos.
Sujeto al estudio y aval por el Consejo de Salud y Consejo Superior
Seguimiento 2023-2: Se solicitó información con oficio 2.6-52.18/322 del 16/11/2023, sin obtener respuesta de avances. </t>
    </r>
  </si>
  <si>
    <r>
      <t>Las caracterizaciones de los dos subprocesos publicados: código: MA-GA-2.6-CA del 08/06/2010 “</t>
    </r>
    <r>
      <rPr>
        <i/>
        <sz val="11"/>
        <color theme="1"/>
        <rFont val="Arial"/>
        <family val="2"/>
      </rPr>
      <t>Gestión Administrativa Unidad de Salud</t>
    </r>
    <r>
      <rPr>
        <sz val="11"/>
        <color theme="1"/>
        <rFont val="Arial"/>
        <family val="2"/>
      </rPr>
      <t>” y código: MA-GO-10-CA del 24/01/2012 “</t>
    </r>
    <r>
      <rPr>
        <i/>
        <sz val="11"/>
        <color theme="1"/>
        <rFont val="Arial"/>
        <family val="2"/>
      </rPr>
      <t>Subproceso Gestión Asistencial u Operativa”</t>
    </r>
    <r>
      <rPr>
        <sz val="11"/>
        <color theme="1"/>
        <rFont val="Arial"/>
        <family val="2"/>
      </rPr>
      <t>, se encuentran desactualizados frente al Decreto 1083 de 2015 y nuevos lineamientos del Departamento Administrativo de la Función Pública; su referencia es la NTCGP 1000 de 2009 ya derogada</t>
    </r>
  </si>
  <si>
    <t>Desactualización del SGC y ausencia del SOGCS para la IPS y EPS dentro del Sistema General de Seguridad Social en Salud (SGSSS).</t>
  </si>
  <si>
    <t>Actualizar las caracterizaciones de los subprocesos y realizar el despliegue del mapa de procesos dentro del nuevo SOGCS.</t>
  </si>
  <si>
    <t>Acto administrativo de aplicación a la norma de la Funcion Publica</t>
  </si>
  <si>
    <r>
      <rPr>
        <sz val="11"/>
        <color rgb="FF000000"/>
        <rFont val="Arial"/>
      </rPr>
      <t xml:space="preserve">Presenta las siguientes propuestas:
	Actualización de la plataforma estratégica de calidad.
	De procesos y subprocesos que se armonizan con la estructura orgánica exhibida.
Sujeto al estudio y aval por el Consejo de Salud y Consejo Superior
Seguimiento 2023-2: Se solicitó información con oficio 2.6-52.18/322 del 16/11/2023, sin obtener respuesta de avances. </t>
    </r>
  </si>
  <si>
    <t>Debilidad en los procedimientos documentados que guían la operación diaria de las funciones, y ausencia de procedimientos básicos en la gestión del talento humano como: nombramientos, encargos, y delegación de funciones; capacitación y formación; inducción, reinducción y empalme; evaluación del desempeño; permisos; licencias ordinarias, por luto, maternidad y paternidad; comisiones de estudio y de servicio; liquidación y pago de horas extras, dominicales, festivos y recargo nocturnos; retiro parcial o definitivo de cesantías; expedición de certificados laborales; solicitud de suspensión o disfrute de vacaciones.</t>
  </si>
  <si>
    <t>Ausencia de Procesos y Procedimientos organizados en un sistema.</t>
  </si>
  <si>
    <t>Revisar, Ajustar, Actualizar  y elaborar los procedimientos relacionados con el Talento Humano de la Unidad de Salud dentro del SOGCS.</t>
  </si>
  <si>
    <t xml:space="preserve">Procedimientos documentados </t>
  </si>
  <si>
    <t>Solicitud de capacitacion referebnte a los diferentes temas a la Univrsidad del Cauca. Oficio 10,1-92/221</t>
  </si>
  <si>
    <r>
      <rPr>
        <sz val="11"/>
        <color rgb="FF000000"/>
        <rFont val="Arial"/>
      </rPr>
      <t>Acta Sesión Extraordinaria CS 16/05/23 Entregada
 Oficio 337  C.Jurid. Situacion Actual UDS 14/04/23
Oficio 410  Solicitud Mod. Acuerdo 010 Juridica 09/05/23
Respuesta Oficios Oficina Jurídica UDS 30/05/23
Respuesta Jurídica Suspensión Proceso Selección
Sin reporte de evidencias para el seguimiento II semestre 2023</t>
    </r>
  </si>
  <si>
    <r>
      <rPr>
        <sz val="11"/>
        <color rgb="FF000000"/>
        <rFont val="Arial"/>
      </rPr>
      <t xml:space="preserve"> Se presenta propuesta de documentación de los procedimientos para la implementación de SOGC
La aprobación de los procedimientos está sujeto al estudio y aval del Consejo de Salud de los documentos estratégicos.
Sujeto al estudio y aval por el Consejo de Salud y Consejo Superior
Seguimiento 2023-2: Se solicitó información con oficio 2.6-52.18/322 del 16/11/2023, sin obtener respuesta de avances. </t>
    </r>
  </si>
  <si>
    <t>No existe registro de trámites en la plataforma SUIT del DAFP para su publicación en el portal web NO+FILAS: Ley 962 de 2005, Ley 1474 de 2011, el Decreto Ley 019 de 2012 y Resolución no.1099 de 2017 del DAFP.</t>
  </si>
  <si>
    <t>Ausencia de capacitación al respecto.</t>
  </si>
  <si>
    <t>Solicitar a TTHH capacitación en el manejo del Software y entrega del nusuarfio y contraseña para la UDS.</t>
  </si>
  <si>
    <t>Revisar y elaborar los trámites relacionados de la Unidad de Salud.</t>
  </si>
  <si>
    <t>Capacitación Recibida , Asignación de Usuario y Contraseña</t>
  </si>
  <si>
    <t>Pendiente solicitudde asesoria a la o fiicna de Planeacion</t>
  </si>
  <si>
    <r>
      <rPr>
        <sz val="11"/>
        <color rgb="FF000000"/>
        <rFont val="Arial"/>
      </rPr>
      <t xml:space="preserve">Se comunica con Diana Espinosa e informa que la Unidad de Salud no tiene una propuesta de tramite ante la plataforma DAFP y mientras no se programe el SOGC, se instale y se asigne responsable no se puede entregar Usuario y Contraseña. Lo único que se maneja en corcordancia con los procesos de la Universidad del Cauca es el manejo de Quejas y Reclamos por la Secretaría General y funciona adecuadamente.
Seguimiento 2023-2: Se solicitó información con oficio 2.6-52.18/322 del 16/11/2023, sin obtener respuesta de avances. </t>
    </r>
  </si>
  <si>
    <t>Ausencia de Gestión Estrategia de Talento Humano, lo que puede impactar en la imagen institucional y acarrear incumplimientos legales.</t>
  </si>
  <si>
    <t>Acto administrativo de implementacion  del SOGC</t>
  </si>
  <si>
    <r>
      <rPr>
        <sz val="11"/>
        <color rgb="FF000000"/>
        <rFont val="Arial"/>
      </rPr>
      <t xml:space="preserve">Sujeto a la modificación del Acuerdo 010 de 2010. 
La OCI recomienda la interacción con la División de Gestión del Talento Humano para hacer extensiva la aplicación del Plan
Seguimiento 2023-2: Se solicitó información con oficio 2.6-52.18/322 del 16/11/2023, sin obtener respuesta de avances. </t>
    </r>
  </si>
  <si>
    <t xml:space="preserve">El Decreto 2489/2006 del Departamento Administrativo de la Función Pública vigente sobre nomenclatura y clasificación se encuentra inaplicado, por lo que la planta de personal permanece desactualizada. </t>
  </si>
  <si>
    <t>Atemperar la planta de personal de la uds  a la normatividad en cuanto a cargos, nomenclatura, clasificacion y a  las necesidades de implentacion del Sistema Obligatorio de Garantía de Calidad en Salud.</t>
  </si>
  <si>
    <t>Expedir el acto administrativo con el cual se aprueba la planta de personal de la uds.</t>
  </si>
  <si>
    <t>Acto administrativo aprobado.</t>
  </si>
  <si>
    <t>El acto administrativo  aprobatorio de la planta de personal de la UDS</t>
  </si>
  <si>
    <r>
      <rPr>
        <sz val="11"/>
        <color rgb="FF000000"/>
        <rFont val="Arial"/>
      </rPr>
      <t xml:space="preserve">Presenta propuesta de modificación de la planta de personal ajustada a las propuestas de estructura orgánica y de funcionamiento por procesos
Sujeto al estudio y aval por el Consejo de Salud y Consejo Superior
Seguimiento 2023-2: Se solicitó información con oficio 2.6-52.18/322 del 16/11/2023, sin obtener respuesta de avances. </t>
    </r>
  </si>
  <si>
    <t>El Acuerdo 01/2005 ratificado por el Consejo Superior en Acuerdo 021/2005, fijó la Planta en 39 cargos, con lo que presenta diferencias frente al número de cargos, denominación y grados.</t>
  </si>
  <si>
    <t>Se ha desnaturalizado el empleo público por traslado de un cargo de apoyo médico-asistencial a apoyo administrativo, Técnico Operativo 4080-09 a 3132-09 sin aprobación formal.</t>
  </si>
  <si>
    <t>El CDS y eL Director de la UDS estan realizando un plan de mejora de acuerdo al SOGC que garantice el ajuste de los cargos de la planta de personal.</t>
  </si>
  <si>
    <t>Expedir el acto administrativo con el cual se aprueba la planta de personal de la UDS.</t>
  </si>
  <si>
    <t>El acto administrativo de actualizacion y aprobacion  de la planta de personal de la UDS</t>
  </si>
  <si>
    <t>Se consideran en nómina cinco (5) empleos sin aprobación oficial: Profesional Universitario 2044-10, Técnico Operativo 3132-09, Auxiliar de Servicios Asistenciales 5042 – 16 y 2 Auxiliares Administrativos 5120-10 (CP Art. 122.</t>
  </si>
  <si>
    <t>Proveer los cargos conforme a la planta de personal aprobada con los respectivos ajustes  a la funcion publica..</t>
  </si>
  <si>
    <t xml:space="preserve">Implementar el acto administrativo que aprobo la planta de personal con los ajustes  y proveer los cargos necesarios. </t>
  </si>
  <si>
    <t>acto administrativo que actualiza y provee los cargos de planta de la UDS.</t>
  </si>
  <si>
    <t xml:space="preserve">A la deficiencia de personal de apoyo a los procesos administrativos (P. ej Subdirección Financiera) se suma la provisión de algunos empleos y la asignación de funciones con perfiles ajenos a la naturaleza del cargo, a las necesidades y funciones (Decreto 1083 de 2015 artículo 2.2.12.2), lo que afecta a los procesos. </t>
  </si>
  <si>
    <t>Implementar el Sistema Obligatorio de Garantía de Calidad en Salud - Habilitación - Estándar de Talento Humano para garantizar la adopción de los procesos y procedimientos de TTHH de la Universidad del Cauca.</t>
  </si>
  <si>
    <t>El Acuerdo no describe las funciones de las subdirecciones científicas y financieras, ni asigna sus estructuras funcionales que soporten los procesos de gestión estratégica, talento humano, jurídica, y documental.</t>
  </si>
  <si>
    <t>Implementación del Sistema Obligatorio de Garantía de Calidad en Salud (SOGCS) y Adopción de los Acuerdos de TTHH de la Universidad del Cauca.</t>
  </si>
  <si>
    <r>
      <rPr>
        <sz val="11"/>
        <color rgb="FF000000"/>
        <rFont val="Arial"/>
      </rPr>
      <t xml:space="preserve">Presenta propuesta de modificación de la planta de personal ajustada a las propuestas de estructura orgánica y de funcionamiento por procesos
Sujeto al estudio y aval por el Consejo de Salud y Consejo Superior
No se presenta propuesta de modificación del Acuerdo 010 de 2010, sin embargo si se ha trabajado en el planeamiento de las estructuras orgánicas. 
. 
Seguimiento 2023-2: Se solicitó información con oficio 2.6-52.18/322 del 16/11/2023, sin obtener respuesta de avances. </t>
    </r>
  </si>
  <si>
    <t>El documento contentivo del manual fue aprobado por Acuerdo 002 de 2016 del Consejo de Salud, siendo de competencia del Consejo Superior (Acuerdo 010 de 2010, Art.15 num.7), por lo que los requisitos y funciones de la Unidad de Salud carecen de una reglamentación interna válida y vinculante. Se evidenció asignación de funciones mediante oficios de la Dirección, desempeño de funciones y actividades basado en la costumbre La propuesta de un nuevo Manual de funciones, construido en el año 2016 no obedece a lineamientos metodológicos del Decreto 1083 de 2015</t>
  </si>
  <si>
    <r>
      <rPr>
        <sz val="11"/>
        <color rgb="FF000000"/>
        <rFont val="Arial"/>
      </rPr>
      <t xml:space="preserve">Se hizo presentación al Consejo de Saluid del organograma institucional para su revisón y aprobación y de el depende el plan de cargos y el nuevo manual de funciones de la UDS. Está pendiente la aprobación del acta y del organigrama.
Seguimiento 2023-2: Se solicitó información con oficio 2.6-52.18/322 del 16/11/2023, sin obtener respuesta de avances. </t>
    </r>
  </si>
  <si>
    <t xml:space="preserve">Concentración de funciones incompatibles al Jefe Financiero 2045-16 quien tiene asignadas las funciones de Tesorería propias del Técnico 4065-16 mediante resolución 025 del 5 de marzo o de mayo del 2019 (se indican en ese orden fechas distintas en el encabezado y en la expedición) </t>
  </si>
  <si>
    <t>El Sistema de Carrera Administrativa no es aplicado a la Unidad de Salud en cuanto a: ü Procesos de selección y vinculación para proveer cargos de carrera: las vacancias definitivas se proveen con nombramientos provisionales prorrogados indefinidamente contrariando los Acuerdos 006 de 2006 num.  1.6 y 2 del Art. 19 del y el Acuerdo 007 de 2006 Art. 15.</t>
  </si>
  <si>
    <t>Dos inscripciones que reconocen derechos al Registro de la Carrera Administrativa Universitaria, se encuentran viciadas, en tanto incumplen con los presupuestos del Acuerdo 006 de 2006 que exige el agotamiento de los procesos rigurosos de selección (Título IV, Artículos 22 y ss).° Cédula 25283345: Resolución de nombramiento provisional No. 198 del 2009 como Auxiliar Administrativo 535010; acta de posesión 05 del 13/07/2009.Inscrita en el Registro de Carrera con Resolución CAC 001 del 22/03/2013, modificada con Resolución CAC 001 del 2014 que ordena retroactividad al 2009. ° Cédula 87570413 Resolución de nombramiento provisional N° 198 del 2009 como Técnico Administrativo.</t>
  </si>
  <si>
    <t>No hay claridad en en el proceso y la apilicacion de la carrera administrativa de la Unidad de Salud.</t>
  </si>
  <si>
    <t>Reglamentar lo relativo  a la  carrera   administrativa con los  ajustes a las necesidades de la UDS..</t>
  </si>
  <si>
    <t>Expedir un acto adminstrativo que reglamente el proeso de carrera administrativa que se ajuste a la planta de personal y a las necesidades de la UDS</t>
  </si>
  <si>
    <t>Acto administrativo  aprobatorio del proceso de carrera administrativa en la uds</t>
  </si>
  <si>
    <t xml:space="preserve">Construcción de actos administrativos adolecen de fallas de técnica jurídica: ° La consideración o motivación: Las resoluciones carecen de un fundamento jurídico y una adecuada motivación que justifiquen el acto. . </t>
  </si>
  <si>
    <t>Contratar o vincular  un profesional del derecho para que desarrolle las actividades jurídicas de la Unidad de Salud</t>
  </si>
  <si>
    <t xml:space="preserve">Contrato o vinculación realizada </t>
  </si>
  <si>
    <t>Se realizó la CPS de un Jurídico de apoyo a las gestiones de la Unidad de Salud</t>
  </si>
  <si>
    <t>Verificada la contratación del personal.</t>
  </si>
  <si>
    <t>Las carpetas de historias laborales presentan falta de algunos tipos documentales como: análisis de cumplimiento de requisitos; declaración juramentada de bienes y rentas, debidamente diligenciado y actualizado; documentos que acrediten procesos de inducción, reinducción y empalme; certificados médicos de ingreso y periódicos (Acuerdo 007 de 2006 y Decreto 1083 de 2015).</t>
  </si>
  <si>
    <t>Revisón in situ de las carpetas de historias laborales</t>
  </si>
  <si>
    <t>Se verificó la organización documental en orden cronológico en el seguimiento de junio.</t>
  </si>
  <si>
    <t xml:space="preserve">Se evidencia contratación de personal de apoyo administrativo y asistencial con asignación de funciones permanentes vinculados en forma consecutiva, 2017 – 2019. </t>
  </si>
  <si>
    <t>Cuando se presentan en forma permanente durante algunos períodos, se solicitan por el empleado al Jefe Financiero, quien avala como reconocimientos posteriores a su causación para la firma de la Dirección, en contravía del Decreto 1042 de 1978 Art. 33 y ss, y el Acuerdo interno 007 del 2006 que exige requisitos previos.Las horas extras y recargos nocturnos ocasionales se reconocen con días compensatorios.</t>
  </si>
  <si>
    <t>Sobre el procedimiento Evaluación del Desempeño de Empleados de Carrera Administrativa se encontró:° Se aplican los mismos criterios de evaluación a los 3 empleados, no obstante, su diferencia en nivel, funciones y competencias.
° Sin cumplimiento a la concertación de objetivos y la formulación de planes de mejoramiento individual o compromisos de acuerdo con sus resultados.
° Las historias laborales no registran el histórico de evaluación.
° No se cuenta con informe consolidado de resultados y análisis.</t>
  </si>
  <si>
    <t>Debilidades en el procedimiento de evaluación al desempeño de emepleados de carrera</t>
  </si>
  <si>
    <t>Ninguno. TTHH de UDC da las directrices y así se está haciendo.</t>
  </si>
  <si>
    <t>Certificaciones Evaluiación Desempeño Ma Carme Salazar 2021 - 2023</t>
  </si>
  <si>
    <t>Se realizaron las evaluaciones de desempeño de los dos funcionarios en carrera administrativa.</t>
  </si>
  <si>
    <t>Las historias laborales sin aplicar el orden original y/o numero de orden,parcialmente actualizadas,uso de material metalico y duplicidad de documentos y diligenciados a lapiz.</t>
  </si>
  <si>
    <t>VICERRECTORÍA ADMINISTRATIVA - DIVISIÓN DE GESTIÓN DEL TALENTO HUMANO</t>
  </si>
  <si>
    <t>PLAN DE MEJORAMIENTO INFORME 2.6-52.18/14 DE 2019 DE EVALUACIÓN AL PROCESO DE GESTIÓN HUMANA</t>
  </si>
  <si>
    <r>
      <t>Gestión
(</t>
    </r>
    <r>
      <rPr>
        <sz val="12"/>
        <color rgb="FFFFFFFF"/>
        <rFont val="Arial Narrow"/>
        <family val="2"/>
      </rPr>
      <t>% subsana la causa y hallazgo</t>
    </r>
    <r>
      <rPr>
        <b/>
        <sz val="12"/>
        <color rgb="FFFFFFFF"/>
        <rFont val="Arial Narrow"/>
        <family val="2"/>
      </rPr>
      <t>)</t>
    </r>
  </si>
  <si>
    <t>OBSERVACIÓN 1: Los Acuerdos 006 y 007 de 2006 en materia de gestión del talento humano, se encuentran sin actualizar a la luz de nuevas normas aplicables en cuanto a planes estratégicos del talento humano, manual de funciones, provisión de cargos de carrera, reubicación aplicable a planta global, liquidaciones de salario y prestaciones sociales (Decreto 1083 de 2015).
OBSERVACIÓN 46: La Universidad cuenta con el Acuerdo 006 de 2006 que crea y reglamenta el Sistema de Carrera Administrativa, cuya operatividad es deficiente como herramienta de soporte adecuado al proceso de gestión estratégica del talento humano, a partir de su ingreso y desarrollo bajo el principio del mérito.
OBSERVACIÓN 20: La persona con C.C. 1061534460 cargo: 4169-18 destino 116, fue vinculada por 8 días (15/02/2019 al 22/02/2019), situación no prevista en los Acuerdos 006 y 007 de 2006</t>
  </si>
  <si>
    <t xml:space="preserve">La normas internas no se ajustan a las Nuevas normas aplicables en cuanto a planes estratégicos del talento humano
Deficientes controles en la vinculación de perosnal asociados a la norma </t>
  </si>
  <si>
    <t>Ajustar las normas relativas a gestión del talento humano</t>
  </si>
  <si>
    <t>Modificar los acuerdos 006 y 007 de 2006</t>
  </si>
  <si>
    <t>acuerdos modificados</t>
  </si>
  <si>
    <t>PROFESIONAL ESPECIALIZADO DGTH</t>
  </si>
  <si>
    <t>Acuerdos</t>
  </si>
  <si>
    <t>Actas de reunión                                                 1.   https://drive.google.com/file/d/1ImEgDnyYKHKBbK37MXGDrKmYvd8SQ-72/view?usp=sharing                                                         2.     https://drive.google.com/file/d/12jpzcAlXJUHfKzIYYXFhyg7NP2WoxmIg/view?usp=sharing                                                         Documento con el proyecto de actualización     https://drive.google.com/file/d/1PhWOK_b687F0UzWHejDStaAHvXrhlCKu/view?usp=sharing 
Con oficio 5.1-52.20/998 del 22 de noviembre de 2023, la División de Gestión del Talento Humano reportó:
Solicitud de asesoría actualiación normativa a la Oficina de Control Interno, oficio 5-92.8/940 del 30/10/2023.</t>
  </si>
  <si>
    <t>No se presentan evidencias adicionales al I semestre 2023, para la actualización de los acuerdos, por lo que se mantiene la conclusión del I semestre 2023.
Informan que en las propuestas de modificación normativa a llevar a cabo por la Dirección universitaria se encuentran los Acuerdos 006 y 007 de 2006.
Se presentan capturas de pantalla respecto de las sesiones de trabajo. 
OCI: Se mantiene el porcentaje de avance</t>
  </si>
  <si>
    <t>OBSERVACIÓN 58 - 59: Se insiste en la aplicación de los procedimientos aprobados en los Acuerdo 006 y 007 de 2006, así como el Decreto 1042 de 1978.</t>
  </si>
  <si>
    <t xml:space="preserve">Indebido procedimiento para la autorización de horas extras y recargos nocturnos. </t>
  </si>
  <si>
    <t>Ajustar las herramientas que soportan el procedimiento de reconocimiento de horas extras y recargo nocturno.</t>
  </si>
  <si>
    <t>Actualizar el Procedimiento de reconocimiento de horas extras y recargo nocturno y demás instrumentos para su operación.</t>
  </si>
  <si>
    <t>Procedimiento e instrumentos Actualizados</t>
  </si>
  <si>
    <t>Procedimiento, formatos, actos administrativos</t>
  </si>
  <si>
    <t> PA-GA-5.1-PR-23 de Liquidación de Horas Extras, Dominicales, Festivos y Recargo Nocturno del 14-09-2022.</t>
  </si>
  <si>
    <t xml:space="preserve">- Se cuenta con el  procedimiento PA-GA-5.1-PR-23 de Liquidación de Horas Extras, Dominicales, Festivos y Recargo Nocturno del 14-09-2022.
- Se realizaron capacitaciones en conjunto con la OCI en el Área de Seguridad, Control y Movilidad.
- Se crearon formatos para la planeación y autorización.
OCI: El porcentaje de avance pasa de 60% a 100%.
</t>
  </si>
  <si>
    <t>OBSERVACIÓN 4: El Acuerdo 085 de 2008 que reglamenta el otorgamiento de estímulos para personal activo, ocasional, catedrático, pensionados y estudiantes regulares, no se ajusta a la Constitución Política, a las normas nacionales (Decreto 1083 del 2015), y a los acuerdos internos (Acuerdo 006 del 2006), como elemento para el desarrollo de los planes de bienestar e incentivos; su ambigüedad ha dado pie a múltiples interpretaciones, entre otras, hacer extensibles sus beneficios a empleados provisionales (transitorios), a conceder incentivos sin respaldo en estudios técnicos de necesidades de las dependencias, y reconocimientos sin tener en cuenta el buen desempeño de los empleados de carrera.</t>
  </si>
  <si>
    <t xml:space="preserve">No se evidencia ajuste entre la normatividad interna y externa </t>
  </si>
  <si>
    <t xml:space="preserve">Ajustar las normas normas relacionadas con planes de bienestar e incentivos </t>
  </si>
  <si>
    <t>Modificar  el Acuerdo 085 de 2008, en lo relativo a estímulos para admnistrativos</t>
  </si>
  <si>
    <t>Acuerdo Modificado</t>
  </si>
  <si>
    <t>Acuerdo y/o evidencias de estudio de viabilidad</t>
  </si>
  <si>
    <t xml:space="preserve">No se presentan evidencias adicionales al I semestre 2023, para la actualización de los acuerdos, por lo que se mantiene la conclusión del I semestre 2023:
 Informan que en las propuestas de modificación normativa a llevar a cabo por la Dirección universitaria se encuentran los Acuerdos 006 y 007 de 2006 y que una vez terminen dicho proceso comenzarán con la estructuración del Acuerdo 085 de 2008.
OCI: Se mantiene el porcentaje de avance
</t>
  </si>
  <si>
    <t>OBSERVACIÓN 5: Presentan debilidades metodológicas de construcción, no se apegan a la normativa que los regula, ni se encuentran ajustados a la nueva denominación del Mapa de Procesos “Gestión Administrativa y Financiera” (Resolución R- 104 de 2018), lo que en algunos casos les impide ser referentes de operación</t>
  </si>
  <si>
    <t>Los procedimientos no se han actualizado conforme a las mejoras de las actividades en el contexto real administrativo.</t>
  </si>
  <si>
    <t>Revisar y Actualizar los procedimientos relativos al manejo del talento humano</t>
  </si>
  <si>
    <t>Revisar los procedimientos documentados en el proceso de Gestión del Talento Humano, para verificar si están o no ajustados a la nueva denominación del Mapa de Procesos “Gestión Administrativa y Financiera”. Si es el caso, ralizar ajuste y actualización. (PA-GA-5.1-PR-3 "Liquidación de Nómina", PA-GA-5.1-PR-11 "Induccción y Reinducción Conoce tu Universsidad", PA-GA-5.1-PR-12 "Capacitación y Formación", PA-GA-5.1-PR-14 "Bienestar Laboral e Incentivos", PA-GA-5.1-PR-16 "Evauación del desempeño de empleado de carrera administrativa", PA-GA-5.1-PR-21 "Retiro de Funcionarios", PA-GA-5.1-PR-24 "Solicitud de permiso remunerado para ausentarse del área de trabajo", PA-GA-5.1-PR-27 "Entrega de Cargo por Traslado", PA-GA-5.1-PR-26 "Solicitud de Suspensión o disfrute de Vacaciones", PA-GA-5.1-PR-25 "Solicitud de retiro parcial o definitivo de cesantías", PA-GA-5.1-PR-23 "Horas extras, dominicales, festivos, y Recargos Nocturnos", PA-GA-5.1-PR-17 "Actualización y cobro de cuotas partes pensiones a favor").</t>
  </si>
  <si>
    <t>Procedimientos ajustados</t>
  </si>
  <si>
    <t xml:space="preserve">Procedimientos actualizados en pagina Institucional </t>
  </si>
  <si>
    <t xml:space="preserve">Oficio de solicitud de moficiaciones a los procedimientos y documentos en la plataforma Lvmen. Fue enviado por correo electrónico al señor Julio César Ulcué del Centro de Gestión de Calidad. https://drive.google.com/file/d/1wr92SfbTpEbBBWgtBCMDwPmqFwO8zAMc/view?usp=sharing                                              Documentos actualizados en plataforma Lvmen:  1 ejemplo  http://facultades.unicauca.edu.co/prlvmen/sites/default/files/procesos/PA-GA-5.1-FOR-12%20Solicitud%20de%20Descuentos%20por%20N%C3%B3mina%20v1.docx 
 Procedimiento PA-GA-5.1-PR-3 sin firma
• Procedimiento (borrador) PA-GA-5.1-PR-11
• Procedimiento (borrador) PA-GA-5.1-PR-12
• Procedimiento (borrador) PA-GA-5.1-PR-14
• Procedimiento PA-GA-5.1-PR-21 
• Procedimiento PA-GA-5.1-PR-24 
• Procedimiento PA-GA-5.1-PR-27 
• Procedimiento PA-GA-5.1-PR-26 
• Procedimiento PA-GA-5.1-PR-25 
• Procedimiento PA-GA-5.1-PR-23 </t>
  </si>
  <si>
    <t xml:space="preserve">Consultada la información del programa Lvmen y según el reporte de avance presentado por el Centro de Gestión de la Calidad y Acreditación Institucional,  para la vigencia 2023 los documentos de la División de Gestión del Talento Humano presentarón porcentaje de actualización del 72.86%.
Se actualizó la guía que contempla todas las situaciones administrativas en versión 1 del 1/11/2023.
Procedimientos pendientes de actualización:
PA-GA-5.1-PR-11, versión 3 del 2/05/2017
PA-GA-5.1-PR-14, versión 27/05/2017
OCI: Se mantiene el avance de hasta que se logré la actualización de los procedimientos pendientes.
</t>
  </si>
  <si>
    <t>OBSERVACIÓN 60: Frente a las licencias ordinarias (Acuerdo 007 de 2006 y Art. 2.2.5.5.5. del Decreto 1083 de 2015 modificado por el 648 de 2017), se encontró que:
• No se ha documentado el procedimiento.
• No se provisionan todos los cargos de las licencias no remuneradas, en garantía de la continuidad de la prestación del servicio.
• La normativa interna no regula la provisión temporal de los cargos que se otorgan por licencias ordinarias, evidenciando nombramientos provisionales por 9 días o hasta 3 meses.
• La resolución de autorización carece de motivación, y se fundamenta en la parte resolutiva.                                                                                                                                            • Solicitudes posteriores a su otorgamiento.</t>
  </si>
  <si>
    <t>No hay un procedimiento documentado, por los vacíos en la normatividad.</t>
  </si>
  <si>
    <t>Plantear una propuesta de procedimiento</t>
  </si>
  <si>
    <t>planteamiento de un procedimiento frente a las licencias ordinarias.</t>
  </si>
  <si>
    <t>Procedimiento e instrumentos Documentados</t>
  </si>
  <si>
    <t xml:space="preserve">Em el I semestre 2023 se reportó Resoluciones Rectorales R-0493 24-04-2023 y R-0056 25-01-2023
Con oficio 5.1-52.20/998 del 22 de noviembre de 2023, la División de Gestión del Talento Humano reportó:
Guía de situaciones administrativas en versión 1 del 1/11/2023, la cual prevé la tipología y el procedimiento para la autorización de licencias remuneradas y no remuneradas.  
En la situación administrativa de comisión, se requiere ajustar la competencia para autorizar comisiones académicas al exterior de profesores y los que ejercen cargo académico administrativo, la cual fue delegada al rector por el Consejo Superior mediante Acuerdo 047 de 2022. (Ver página 14). 
</t>
  </si>
  <si>
    <t xml:space="preserve">Se actualizó la guía que contempla todas las situaciones administrativas, entre ellas las licencias ordinarias. se asigna avance de 100%
La OCI verificará la efectividad de la acción de mejoramiento. </t>
  </si>
  <si>
    <t>OBSERVACIÓN 61:  La licencia se autoriza de oficio o a solitud de parte debido a incapacidad médica expedida por competente, y debe constar en acto administrativo motivado, (Acuerdo 007 de 2007 y Art. 2.2.5.5.11 del Decreto 1083 de 2015 modificado por el 648 de 2017), se encuentra:
° No se ha documentado el procedimiento.
° No se provisionan todos los cargos en garantía de la continuidad del servicio, cuando las licencias superan los 30 días.
° Carpetas C.C. 10294423 y 10295400: para el otorgamiento de la licencia de paternidad no se evidencia copia de la solicitud y certificado de nacido vivo o copia simple del registro civil de nacimiento.</t>
  </si>
  <si>
    <t>No hay un procedimiento documentado</t>
  </si>
  <si>
    <t>Revisión de la normatividad existente, interna y externa que permita el planteamiento ajustado a ello, de un procedimiento frente a las licencias ordinarias.</t>
  </si>
  <si>
    <t xml:space="preserve">Con oficio 5.1-52.20/998 del 22 de noviembre de 2023, la División de Gestión del Talento Humano reportó:
Guía de situaciones administrativas en versión 1 del 1/11/2023, la cual prevé la tipología y el procedimiento para la autorización de licencias remuneradas y no remuneradas.  </t>
  </si>
  <si>
    <t>OBSERVACIÓN 68: ° El permiso para docencia no considera las condiciones reglamentarias de otorgamiento.
° Sin formalización de controles y registros consolidados sobre la concesión.
° Según los reportes SIMCA 23 servidores orientan clases en programas de pregrado de la Universidad.
° Sin evidencia de solicitudes, estudios de viabilidad sobre las incidencias en la prestación del servicio, resoluciones de permiso y plan de recuperación del tiempo concedido.</t>
  </si>
  <si>
    <t>No se realiza regsitro para el seguimiento y justificación de algunas solicitudes de permiso</t>
  </si>
  <si>
    <t>Realizar el seguimiento y justificación de algunas solicitudes de permiso, armonizando con la normatividad y los controles necesarios</t>
  </si>
  <si>
    <r>
      <t>Revisar los procedimientos de otorgamiento de permiso para docencia, articular con la Dependencia encargada de este procedimiento para consolidar información y llevar un control por medio de una relación de servidores que orientan cátedra.</t>
    </r>
    <r>
      <rPr>
        <sz val="10"/>
        <color theme="1"/>
        <rFont val="Arial"/>
        <family val="2"/>
      </rPr>
      <t xml:space="preserve"> </t>
    </r>
    <r>
      <rPr>
        <i/>
        <sz val="10"/>
        <color theme="1"/>
        <rFont val="Arial"/>
        <family val="2"/>
      </rPr>
      <t>(Dcocumentar y rezalira con la observación 5)</t>
    </r>
  </si>
  <si>
    <t>Permisos para docencia registrados</t>
  </si>
  <si>
    <t>Documento/relación de servidores catedráticos</t>
  </si>
  <si>
    <t>1. http://www.unicauca.edu.co/prlvmen/subprocesos/gesti%C3%B3n-del-talento-humano
2. https://www.unicauca.edu.co/versionP/documentos/circulares/circular-informativa-de-la-divisi%C3%B3n-de-gesti%C3%B3n-del-talento-humano-sobre-formato-de-permiso-funcion
Con oficio 5.1-52.20/998 del 22 de noviembre de 2023, la División de Gestión del Talento Humano reportó:
Circular informativa 5.1-22.1/482 del 4/07/2023 de solicitud para docentes hora cátedra del diligenciamiento del PA-GA-5.1-FOR-57 a presentar en cada inicio de periodo académico.</t>
  </si>
  <si>
    <t xml:space="preserve">Se mantiene las observaciones del seguimiento corte I semestre 2023:
1. Se diseñó el formato para la relación de los funcionarios que ejercen docencia en la Universidad.
2. Se elaboró circular informativa la cual fue publicada en la página web de la unviersidad.
Nota: Las dependencias no reportan a los servidores que tienen horas de docencia
OCI: El porcentaje de avance pasa de 80% a un 90%.
10% de avance supeditado a la consolidación de la lista de servidores 
</t>
  </si>
  <si>
    <t>OBSERVACIÓN 15: El Plan no determina los beneficios exclusivos para empleados de carrera, considerados legalmente con preferencia y exclusividad frente a algunos derechos laborales.
Se diseñó bajo 8 puntos:
• Incentivo técnico por esfuerzo laboral sobresaliente
• Estímulo por participación deportiva y/o cultural
• Reconocimiento público
• Incentivo disfrute de matrimonio
• Inventivo bono consumible cumpleaños
• Incentivos labor meritoria
• Estímulo Académico Pregrado y Posgrado
• Estímulos Becas Posgrado</t>
  </si>
  <si>
    <t>No existe una estrategia que considere beneficios exclusivos o de prioridad a los empleados de carrera</t>
  </si>
  <si>
    <t>Proponer estategias dentro de las actividades del Plan de Incentivos, por medio de las cuales se le de prioridad a los empleados públicos de Carrera Administrativa antes de los cargos nombrados en provisionalidad, en caso de empate o situaciones que puedan generar controversia en el proceso de entrega de incentivos.</t>
  </si>
  <si>
    <t xml:space="preserve">Generar desde la División de Gestión del Talento Humano como equipo encargado de la ejecución del SIGLA, la propuesta al comité que permita ajustar los lineamientos de entrega de algunos incentivos en los cuales se pueden dar situaciones que requieran de dar prioridad a un funcionario de carrera. </t>
  </si>
  <si>
    <t>Propuesta para comité del SIGLA
(Oficio).
Documento proyectado con las propuestas para aprobación  del COMITÉ SIGLA</t>
  </si>
  <si>
    <t>Propuestas proyectada y aprobada</t>
  </si>
  <si>
    <t>Prouesta de SIGLA 2.0 por aporbación ante las Directivas</t>
  </si>
  <si>
    <t>Los servidores de la División expresan la necesidad de formular nuevas estrategias dentro de la actualización al SIGLA para los empleados de carrera administrativa.
En el Manual de ejecución del SIGLA 2.0, en la página 3 se encutnra relacionada la prioridad para los beneficios de los empleados de carrera.
OCI: Se mantiene el porcentaje de avance.
OCI: El porcentaje de avance pasa de 0% a un 90%.
10% de avance supeditado a su aprobación</t>
  </si>
  <si>
    <t xml:space="preserve">OBSERVACIÓN 30: El Cargo de Profesional Especializado 2028-15 de libre nombramiento adscrito a la División de Admisiones, Registro y Control Académico-DARCA, fue reubicado a la Vicerrectoría Académica, afectando la estructura del manual de funciones, que lo contempla como un cargo estático para la DARCA. </t>
  </si>
  <si>
    <t>Se reubica al funcionario por enfermedad laboral</t>
  </si>
  <si>
    <t>Realizar seguimiento y control a la reubicación.</t>
  </si>
  <si>
    <t>Realizar seguimiento por parte del Área de Seguridad y Salud en el Trabajo a la reubicación para hacer consulta jurídica e implementar compromisos y planes de mejora indivdual.</t>
  </si>
  <si>
    <t>Diagnóstico realizado y  registro de seguimiento  de mejoras implementadas</t>
  </si>
  <si>
    <t>Diagnóstico / Registros</t>
  </si>
  <si>
    <t> Se presenta el Acta 5.1.4-1.59/02 de 2022  donde consta información sobre reubicaciones en el periodo y un informe con indicadores anual, el cual se sugiere considerar para la toma de decisiones relacionadas con la gestión humana.</t>
  </si>
  <si>
    <t xml:space="preserve">La OCI sugiere que la División consolide la información de reubicación de los servidores universitarios y realice un diagnóstico sobre las principales causas.
Se realizó el correctivo respecto de la situación detectada.
Se presenta el Acta 5.1.4-1.59/02 de 2022  donde consta información sobre reubicaciones en el periodo y un informe con indicadores anual, el cual se sugiere considerar para la toma de decisiones relacionadas con la gestión humana.
OCI: El porcentaje de avance pasa de 20% a un 100%.
</t>
  </si>
  <si>
    <t>OBSERVACIÓN 31: Pese a que la Universidad del Cauca cuenta con personal de Carrera pre-pensionado o con cumplimiento de requisitos de pensión y con un alto porcentaje de decrecimiento, no ha implementado estrategias de relevo generacional, ni preparación para su retiro en cumplimiento del Decreto 1083 de 2015.</t>
  </si>
  <si>
    <t>Falta de estrategias y actividades frente al tema de prepensionados</t>
  </si>
  <si>
    <t>Desarrollar o articular las estrategias en el tema de Pre-pensionados</t>
  </si>
  <si>
    <t>Estudiar las estrategias que la Universidad del Cauca venia trabajando frente al tema pre-pensionados, adicional al tema de relevo generacional para plantear la estrategia pertinente y actualizar el cumplimiento al decreto 1083 de 2015, articulando acciones del Plan de Bienestar SIGLA con las distintas actividades que se realizan referentes al tema pre-pensionados</t>
  </si>
  <si>
    <t>Actividades y acciones propuestas y/o articuladas</t>
  </si>
  <si>
    <t xml:space="preserve">Registros </t>
  </si>
  <si>
    <t xml:space="preserve">Se evidencian registros de capacitaciones y estrategias de relevo generacional y una propuesta individual de concurso proyectada desde el Comité de Carrera.
OCI: El porcentaje de avance pasa de 0% a un 100%.
</t>
  </si>
  <si>
    <t>OBSERVACIÓN 42: No se evidencia el cumplimiento de las actuaciones de inducción, empalmes y notificación del acto administrativo de nombramiento, aceptación del cargo y suscripción del compromiso de confidencialidad cuando aplica (Acuerdo 007 de 2006 y Decreto 1083 de 2015).</t>
  </si>
  <si>
    <t>Falta documentación de las actividades de inducción, reinducción y empalme</t>
  </si>
  <si>
    <t>Documentar y presentar evidencia</t>
  </si>
  <si>
    <t>Documentar el cumplimiento de las actuaciones de conformidad con la normatividad interna y externa que dispone las pautas adecuadas y procedimientos pertinentes.</t>
  </si>
  <si>
    <t>Heramientas de Empalmes y/o entregas de cargos actualizadas e implementadas</t>
  </si>
  <si>
    <t>Registros formato, acta</t>
  </si>
  <si>
    <t>"1. http://www.unicauca.edu.co/prlvmen/sites/default/files/procesos/PA-GA-5.1-PR-21%20Retiro%20de%20Funcionarios%20V2.pdf
2. http://www.unicauca.edu.co/prlvmen/sites/default/files/procesos/PA-GA-5.1-PR-27%20Entrega%20del%20Cargo%20V1.pdf"
Con oficio 5.1-52.20/998 del 22 de noviembre de 2023, la División de Gestión del Talento Humano reportó:
Evidencia de inducción en el puesto de trabajo para Auxiliar administrativo 4044-16 y diligenciamiento del formato PA-GA-5.1-FOR-17.
Registros de asistencia de reinduccion, 30/08/2023, situaciones administrativas.</t>
  </si>
  <si>
    <t>Se presentan evidencias de las jornadas de inducción y reinducción, pendiente revisar una muestra de las inducciones y reinducciones realizadas
Se evidencia documentación que soporta los procesos de reinducción. Se determinará mayor nivel de avance, conforme a la revisión física de la documentación que soporte un correcto procedimiento de empalme.
Se asigna avance de 80%</t>
  </si>
  <si>
    <t>OBSERVACIÓN 38: Se asignan funciones administrativas de nivel directivo a personal de planta docente, sin embargo, la asignación de funciones sólo se puede realizar respecto de cargos de la misma naturaleza; es limitada en el tiempo y se refiere a un marco funcional y concreto relacionado directamente con el cargo. (Sentencia T-105 de 2002 de la Corte Constitucional y Art. 2.2.5.5.52 del Decreto 1083 de 2015 modificado por el 648 de 2017).</t>
  </si>
  <si>
    <t>Falencia en la técnina jurídica para la contrucción de los actos administrativos de docentes en cargos - académico adminsitrativos</t>
  </si>
  <si>
    <t>Ajustar e implementar los modelos de actos administrativos</t>
  </si>
  <si>
    <t>Actualizar los modelos de actos administrativos respecto a casos como los contemplados en la Observación 38 con el fin de implementarse de la manera correcta según la normatividad vigente</t>
  </si>
  <si>
    <t>Actos adminitrativos ajustados</t>
  </si>
  <si>
    <t>acto administrativo</t>
  </si>
  <si>
    <t xml:space="preserve">Comunicado: http://www.unicauca.edu.co/versionP/documentos/comunicados/comunicado-sobre-firma-yo-suscripci%C3%B3n-en-documentos-institucionales-con-la-menci%C3%B3n-del-cargo-corr                                                           Se anexa el cronograma de Reinducción y su programa.  https://drive.google.com/file/d/1xksKJ3tlGq5DNmOiP8jdR6Ku-Xdcp4I7/view?usp=sharing                                                    También se anexan las presentaciones socializadas a cada uno de los grupos diferenciados por cargo. https://drive.google.com/drive/folders/13sazZA_V27W5K1AzcoWxjpa_nqXPLytP?usp=sharing                                                    Listado de asistencia a la reinducción.  https://drive.google.com/file/d/1SAlLVEVuKecxWFDR0yQ9TWdbkQVWncZQ/view?usp=sharing </t>
  </si>
  <si>
    <t>Acta de seguimiento 2.6-1.60/05 de 2022
Se presentan actos administrativos ajustados a la técnica jurídica que corresponde.
OCI: El porcentaje de avance pasa de 30% a un 100%.</t>
  </si>
  <si>
    <t>OBSERVACIÓN 39: Docente ostenta 2 cargos académico – administrativo durante el 01 de agosto y el 12 de septiembre de 2017 (Director de Centro y Decano), según Resoluciones Superiores 043 y 049 de 2017.</t>
  </si>
  <si>
    <t xml:space="preserve">No hubo revisión de procesos para la asignación de cargo </t>
  </si>
  <si>
    <t>Actualizar los modelos de actos administrativos respecto a casos como los contemplados en la Observación 39 con el fin de implementarse de la manera correcta según la normatividad vigente</t>
  </si>
  <si>
    <t>OBSERVACIÓN 87: Los controles hacen parte del mínimo que hacer de la dependencia, con lo que no contrarrestan por si solos las causas del riesgo.
El ejercicio auditor muestra que el control no se aplica, al constatar en las historias laborales la falta de algunos soportes de análisis ( PA-GA-5.1-FOR-44).</t>
  </si>
  <si>
    <t>Falta de controles adicionales al Plan de Gestión documental</t>
  </si>
  <si>
    <t xml:space="preserve">Formular plan de trabajo de Organización Documental para cumplir con los procesos </t>
  </si>
  <si>
    <t xml:space="preserve"> Continuar con el trabajo del plan para alcanzar mayor porcentaje de avance.</t>
  </si>
  <si>
    <t>Plan de Trabajo ejecutado</t>
  </si>
  <si>
    <t>Documento/registros/Plan</t>
  </si>
  <si>
    <t xml:space="preserve">Plan de Trabajo Archivo de Historias Laborales.  https://drive.google.com/file/d/1z0dtt2XbCbygBe0qZCCAQA8-UUK5s96Z/view?usp=sharing                       </t>
  </si>
  <si>
    <t xml:space="preserve">Se evidencia plan de trabajo, sin embargo se determinará un mayor nivel de avance conforme a la implementación.
Se presenta un Plan de mejoramiento de gestión documental, 2022 a 2026. Se reorganizó la gestión documental desde el año 2000 y por verificar la implementación. La Gestión documental  de las historias laborales se encuentra  clasificado  hasta el año 2020, falta organización  conforme a las directrices de AGN.
OCI: El porcentaje de avance pasa de 50% a 100%.
</t>
  </si>
  <si>
    <t>OBSERVACIÓN 88: • Documentos diligenciados a lápiz, (Formato de Cumplimiento de requisitos)
• Certificación de experiencia sin firmas
• Faltan firmas en solicitudes de suspensión de vacaciones.
• Duplicidad de documentos en historias laborales.
• Historias laborales parcialmente actualizadas y sin tipos documentales establecidos en la Tabla de Retención Documental.</t>
  </si>
  <si>
    <t>Retraso en la actualización y revisión de las Historias Laborales, sólo que falta disposición final</t>
  </si>
  <si>
    <t>Continuar revisando los documentos que reposan en las hojas de vida, para corregir si hay alteraciones que nos correspondan, de igual manera actualizar los documentos que se deben relacionar según la Tabla de Retención Documental.</t>
  </si>
  <si>
    <t xml:space="preserve">Plan de Trabajo Archivo de Historias Laborales.  https://drive.google.com/file/d/1z0dtt2XbCbygBe0qZCCAQA8-UUK5s96Z/view?usp=sharing                                                                                                    Revisión de Requisitos Historias Laborales                           https://drive.google.com/file/d/18xvlgnnXoj-Sc4QEc_XAXF0qIEuFPN5C/view?usp=sharing </t>
  </si>
  <si>
    <t>OBSERVACIÓN 48:  Sobre la rotación se encontró que:
° No se encuentran registros sobre antecedentes individuales de rotación del personal, excepto por el acto administrativo que la ordena o reconoce.
° No se realiza un análisis sobre las dependencias que presentan mayor frecuencia de rotación del personal, frente a sus causas y soluciones.
° No se cuenta con estadísticas de rotación por funcionario, ni registros de análisis y seguimiento a sus causas con sus acciones de manejo.
° Se aplican indistintamente las figuras de reubicación del cargo y reubicación del personal por vacancia definitiva de empleos, con movimiento de cargos a través del encargo o de nombramientos provisionales, sin justificaciones en estudios de necesidad del servicio de las dependencias involucradas, y sin modificación de funciones del encargado o nombrado.
OBSERVACIÓN 50: En la reubicación de empleados públicos se encontró:
• De las historias laborales revisadas 18 servidores fueron reubicados, sin embargo, no se encontró evidencia de dichos actos en 27,7%.
• Procedimiento de reubicación de empleados que no cuentan con soportes acerca de: requerimientos de dependencias o procesos, estudio de perfiles frente al cargo y funciones, registro de análisis de planta; estudios médicos ocupacionales que la avalen, análisis de requisitos para desempeñarse en la nueva dependencia, empalme y reinducción de quien asumirá sus funciones.
:OBSERVACIÓN 51: • Un 16% (11) Trabajadores Oficiales han sido reubicados por razones de salud, a través de oficios o actos administrativos, de los cuales siete (7) desempeñan actividades de archivo o secretaría, alterando la categoría de servidor.
• Las reubicaciones de trabajadores oficiales no cuentan con estudios previos de necesidades de las dependencias y análisis de la adecuación de perfiles profesionales.
• Se asignan funciones propias de un empleo público a trabajadores oficiales a través de oficios, sin dejar registro en los contratos de trabajo, sobre sus nuevas condiciones.
• Se encontraron 2 reubicaciones mediante acto administrativo (Resoluciones).</t>
  </si>
  <si>
    <t xml:space="preserve">no se detectó la necesidad de documentar o registrar la rotación y reubicación, más allá del regsitro de novedad nómina o actualización de datos en sistemas de recursos humanos.
No hay un Plan que direccione la reubicación de Trabajadores Oficiales por razones de salud </t>
  </si>
  <si>
    <t xml:space="preserve">Estrategia para hacer el seguimiento a las rotaciones y reubicaciones  </t>
  </si>
  <si>
    <t xml:space="preserve">Plantear una estrategia para hacer el seguimiento a las rotaciones y reubicaciones de empleado público y trabajadores oficiales, incluyendo la revisión de la normatividad para los modelos de actos administrativos que se requieran  </t>
  </si>
  <si>
    <t>Estrategia ejecutada</t>
  </si>
  <si>
    <t>Registros/documentos de seguimiento/encuestas/formatos</t>
  </si>
  <si>
    <t>Acta 5.1.4-1.59/02 de 2022</t>
  </si>
  <si>
    <t>Se presenta el Acta 5.1.4-1.59/02 de 2022  donde consta información sobre reubicaciones en el periodo y un informe con indicadores anual, el cual se sugiere considerar para la toma de decisiones relacionadas con la gestión humana.
OCI: El porcentaje de avance pasa de 20% a un 100%.
.</t>
  </si>
  <si>
    <t>OBSERVACIÓN 67: • No se encuentran formalizados controles, ni registros consolidados sobre esta situación administrativa.
• Resolución sin motivación VADM 214 de 18/02/2016 autorizó extemporáneamente el permiso remunerado para estudios de 4 a 6 pm del 12 de febrero a 17 de junio de 2016; sin soportes que sustenten el permiso.
• No se formalizan condiciones ni compromisos previos, concomitantes y posteriores para el otorgamiento y mantenimiento de permiso para estudios.</t>
  </si>
  <si>
    <t xml:space="preserve">A la fecha de expedición del Acto Administrativo, no se realizaban los controles y registros pertinentes </t>
  </si>
  <si>
    <t>Realizar control a la expedición de Actos Admnistrativos</t>
  </si>
  <si>
    <t>Hacer seguimiento, Revisión para tomar medidas correctivas a  los futuros Actos Administrativos, teniendo en cuenta los compromisos y soportes que sustenten los permisos. Revisar y actualizar si es necesario los procedimientos y formatos que intervienen en los permisos.
Por realizar (recolección de firmas de manera física para corregir documentos que se encuentran en digital).</t>
  </si>
  <si>
    <t>Documentos actualizados, actos administrativos implementados</t>
  </si>
  <si>
    <t>Actos administrativos/documentos</t>
  </si>
  <si>
    <t xml:space="preserve">Seguimiento Observación 67     https://drive.google.com/file/d/12gYOe1xeVj-VrFByGT0aklDhNm20tOdA/view?usp=sharing </t>
  </si>
  <si>
    <t>Acta de seguimiento 2.6-1.60/05 de 2022
Se presentan actos administrativos ajustados a la técnica jurídica que corresponde.
OCI: El porcentaje de avance pasa de 80% a un 100% .</t>
  </si>
  <si>
    <t>OBSERVACIÓN 79: Sin formal aprobación de la Política de Seguridad y Salud en el Trabajo, comunicada a través del portal web el 22 de febrero de 2018, con vigencia a partir del 27 de agosto del 2017.
La expedición de la Política de Seguridad y Salud en el Trabajo desconoce las formalidades del Acuerdo 105 de 1993, restando fuerza vinculante, debido a que su adopción no ha surtido el trámite en el Consejo Superior competente en la materia.</t>
  </si>
  <si>
    <t>Desconocimiento del procedimiento actual sobre aprobación de políticas</t>
  </si>
  <si>
    <t>Adopción de la política de Seguridad y Salud en el Trabajo.</t>
  </si>
  <si>
    <t>Presentar de la política en Seguridad y Salud en el Trabajo ante el consejo superior, y obtener así la aprobación según la reglamentación institucional interna</t>
  </si>
  <si>
    <t xml:space="preserve">Acto admnistrativo aprobado </t>
  </si>
  <si>
    <t>Acuerdo/Resolución</t>
  </si>
  <si>
    <t>Se excluye del Plan por cuanto es un hallazgo considerado dentro del PM de SSST</t>
  </si>
  <si>
    <t>OBSERVACIÓN 81: • No se realiza seguimientos a la totalidad de las obras y algunos de los que se realizan son inoportunos.
• Algunos conceptos formalmente emitidos por el Área de Seguridad y Salud en el Trabajo, no se tienen en cuenta para la ejecución de los proyectos de obra, impidiendo la implementación del SGSST.
• Los conceptos para la sustitución de insumos o sustancias agentes de riesgo utilizadas en los laboratorios de la Universidad, no se toman en cuenta en todas las dependencias implicadas.
• Inefectividad de los controles de uso de los elementos de protección personal.
• Se realiza seguimiento a algunas de las recomendaciones del Plan de Higiene y Seguridad Industrial.
• No se cuenta con un plan de acción que establezca los seguimientos periódicos a las dependencias de mayor riesgo.
• Las instalaciones de la Universidad no cuentan con puntos de anclaje para las líneas de vida, frente a lo cual el ASST ha realizado diversas gestiones de implementación.</t>
  </si>
  <si>
    <t xml:space="preserve">Falta de personal y y dificultad en la articulación de los planes y proyectos. </t>
  </si>
  <si>
    <t xml:space="preserve"> Realizar Actividades de Gestión que permitan llevar un control del trabajo de SST en las distintas obras.</t>
  </si>
  <si>
    <t>Solicitar a la vicerrectoría administrativa el inicio de las obras, para realizar la adecuada coordinación y el seguimiento a los contratistas en el momento oportuno, logrando el mayor cubrimiento y cumplimiento de medidas de SST.
El área informará a la DGTH el seguimiento en el uso de EPP.
Reiterar la solicitud a la oficina asesora de planeación de la necesidad de instalar los puntos de anclaje y líneas de vida en los edificios de la Universidad.
Incluir dentro del plan de trabajo anual el seguimiento a las recomendaciones y visitas de inspección a las dependencias con mayor riesgo.
actividad con avance de 50%, pendiente por realizar informe de seguimiento a obras.</t>
  </si>
  <si>
    <t>Informes de inspección presentados, Oficio solicitud puntos de anclaje enviado, Formato seguimiento a recomendaciones implementado.</t>
  </si>
  <si>
    <t>Informes/Oficio/ Formato</t>
  </si>
  <si>
    <t xml:space="preserve">Se solicitó su inclusión dentro del Plan de Desarrollo Institucional.
OCI: El porcentaje de avance pasa de 0% a un 100%
</t>
  </si>
  <si>
    <t>OBSERVACIÓN 82:
• Sin evidencia de la autoevaluación del 2017 y 2018.
• Plan de mejoramiento del 2017 no cuenta con indicadores de cumplimiento.
• Plan de seguridad en el trabajo 2018 sin información consolidada sobre su ejecución.
• Los exámenes médicos ocupacionales periódicos no se realizan anualmente a los servidores.
• No se realizan controles ni se toman medidas sobre el personal que no atiende a los exámenes médicos ocupacionales.
• La información que arrojan los exámenes médicos de ingreso, no se toma en cuenta para las medidas de seguimiento al servidor durante el transcurso de su vida laboral. (deben ser tratadas con las observaciones 80, o 81)</t>
  </si>
  <si>
    <t>Desactualización en el tratamiento de la información</t>
  </si>
  <si>
    <t>Actualización de la información mediante la debida documentación y evidencia / Gestión de recursos para mejorar alcance</t>
  </si>
  <si>
    <r>
      <t>Actualizar la documentación y evidencias que permitan consolidar la infomación referente a: auto-evaluación 2017 y 2018.
Indicadores de cumplimiento del plan de mejoramiento del año 2017.</t>
    </r>
    <r>
      <rPr>
        <sz val="10"/>
        <color theme="1"/>
        <rFont val="Arial"/>
        <family val="2"/>
      </rPr>
      <t xml:space="preserve">
• ejecución Plan de seguridad en el trabajo 2018
• Control y seguimiento en la Realización y resultado anual de Los exámenes médicos ocupacionales periódicos
• La información que arrojan los exámenes médicos de ingreso, no se toma en cuenta para las medidas de seguimiento al servidor durante el transcurso de su vida laboral.                                                                                                          Gestionar la contratación de un médico de medio tiempo para abarcar la totalidad de la población trabajadora.
Informar a la DGTH la insistencia reiterada de los trabajadores a las valoraciones medicas ocupacionales.
Actividad se encuentra con avance de 67%. Pendiente por realizar el seguimiento a los planes.</t>
    </r>
  </si>
  <si>
    <t>Informe de seguimiento y documentos entregados</t>
  </si>
  <si>
    <t xml:space="preserve">Informe </t>
  </si>
  <si>
    <t>OBSERVACIÓN 82:• El Área de Seguridad y Salud en el Trabajo no cuenta con Licencia de Salud Ocupacional que habilite sus servicios en salud (Resolución 2003 de 2014 MSPS).</t>
  </si>
  <si>
    <t>La planta o espacio fisico no cumple con los requerimientos de la Resolución de habilitación.</t>
  </si>
  <si>
    <t xml:space="preserve">Gestionar las solicitudes o acciones para una adecuación que permita el cumplimiento de estándares mínimos </t>
  </si>
  <si>
    <t>Gestionar ante la oficina asesora de planeación, la adecuación del espacio físico del Área de SST para cumplir con los requisitos de espacio establecidos en la norma.</t>
  </si>
  <si>
    <t>Solicitud y/o comunicación enviadas</t>
  </si>
  <si>
    <t>Oficio</t>
  </si>
  <si>
    <t>OBSERVACIÓN 77: No se mide el desempeño laboral, ni comportamental de los empleados provisionales, que superan la mitad de los empleados universitarios de planta.</t>
  </si>
  <si>
    <t>No se ha establecido un estudio, que permita la creación del procedimiento y los instrumentos necesarios para medir el desempeño laboral de los empleados públicos en provisionalidad.</t>
  </si>
  <si>
    <t>Proyectar el estudio normativo y teórico en temas de evaluación de desempeño laboral.</t>
  </si>
  <si>
    <t>Proyectar una revisión, normativa y teórica, que permita plantear una propuesta de procedimiento de evaluación del desempeño laboral para empleados públicos en provisionalidad.</t>
  </si>
  <si>
    <t>Informe técnico realizado</t>
  </si>
  <si>
    <t> No se presenta evidencias</t>
  </si>
  <si>
    <t>VICERRECTORÍA ADMINISTRATIVA - DIVISIÓN DE GESTIÓN DEL TALENTO HUMANO - ÁREA DE SEGURIDAD Y SALUD EN EL TRABAJO</t>
  </si>
  <si>
    <t xml:space="preserve">DIEGO ERIKSON HUAMÁN CANENCIO </t>
  </si>
  <si>
    <t>EVALUACIÓN AL PROCESO DE IMPLEMENTACIÓN DEL SISTEMA DE GESTIÓN DE SEGURIDAD Y SALUD EN EL TRABAJO - SGSST</t>
  </si>
  <si>
    <t>Se suscribió el 20 de octubre de 2022 con ejecución  a partir del 01 de noviembre de 2022</t>
  </si>
  <si>
    <t>Observación OCI</t>
  </si>
  <si>
    <t>Responsable del Sistema de Gestión de Seguridad y Salud en el Trabajo SG-SST: El nivel jerárquico y salarial del Responsable del SG-SST, es inferior al de quienes lo coordinan, según el Manual de funciones Profesional 2044 -7 a profesional 2044 – 9.  Además, el mismo relaciona diferentes coordinadores y/o supervisores del ASST, lo que dificulta una correcta aplicación de la cadena de mando</t>
  </si>
  <si>
    <t>Inadecuada asignacion de cargos para el area de SST</t>
  </si>
  <si>
    <t xml:space="preserve">Revisar y ajustar la estructura del area de SST </t>
  </si>
  <si>
    <t>Ajustar en el manual de funciones y competencias laborales la estructura del Área de SST</t>
  </si>
  <si>
    <t>Manual de funciones y competencias laborales ajustado
Estructura organica del Area de SST adecuada</t>
  </si>
  <si>
    <t>Profesional especializado de la Division de Gestion de Talento Humano</t>
  </si>
  <si>
    <t>Otro</t>
  </si>
  <si>
    <t>Talento Humano, Recursos Físicos, Recursos Financieros</t>
  </si>
  <si>
    <t>Con oficio 5.1.4-52/525 del 24/11/2023 se reportó:
"Por parte de la Division de Gestion de TH se esta realizando un estudio  de la planta de administrativos y las necesidades de las dependencias, se tiene estimado el ajuste al cargo de profesional universitario a cargo del Área de SST"</t>
  </si>
  <si>
    <t>No se presentó evidencia para la actividad, el manual de funciones no se ha actualizado.</t>
  </si>
  <si>
    <t>Asignación de recursos para el SG-SST: En los planes anuales allegados (2021-2022) no se evidencian registros de los recursos financieros, técnicos y tecnológicos y de personal según prioridades de SST, cronograma, disponibilidad y trazabilidad sobre su inversión o ejecución, como se establece en los artículos 2.2.4.6.8; 2.2.4.6.17 y 2.2.4.6.31 del Decreto Único Reglamentario 1072 de 2015.</t>
  </si>
  <si>
    <t xml:space="preserve">Falta precisar en los planes de Area de SST los recursos humanos, tecnicos, financieros y tecnologicos, </t>
  </si>
  <si>
    <t>Incluir en los planes del area de SST los recursos necesarios para la ejecucion.</t>
  </si>
  <si>
    <t>Modificar los formatos de planes del area de SST, incluyendo los recursos  humanos, tecnicos, financieros y tecnologicos para desarrollar las actividades.</t>
  </si>
  <si>
    <t>Planes del area de SST modificados</t>
  </si>
  <si>
    <t>Profesional Universitario del Area de SST</t>
  </si>
  <si>
    <t xml:space="preserve">Anual </t>
  </si>
  <si>
    <t xml:space="preserve">Planes del area de SST modificados </t>
  </si>
  <si>
    <t xml:space="preserve">Plan de mejora, Plan de trabajo y plan de capacitacion modificados </t>
  </si>
  <si>
    <t>Se incluyeron dentro de los Planes de SST los  recursos humanos, técnicos, financieros y tecnológicos
Se otorga un avance del 100%</t>
  </si>
  <si>
    <t>“Conformación COPASST”: No se observa una operación conforme a las normas que lo regulan (Arts. 2.2.4.6.26 y 2.2.4.6.34 del Decreto Único Reglamentario 1072 de 2015 y Resolución 2013 de 1986). Sin evidencia de reuniones mensuales y seguimiento a compromisos tal como lo establecen el Decreto 1295 de 1994 y las Resoluciones 1401 de 2007 y 2013 de 1986.</t>
  </si>
  <si>
    <t>Debilidad en la operatividad del COPASST</t>
  </si>
  <si>
    <t>Designar y Elegir los integrantes del COPASST</t>
  </si>
  <si>
    <t xml:space="preserve">Solicitar al rector la designacion de los representantes por parte del empleador al COPASST
Adelantar la  eleccion de los representantes de los trabajadores ante el COPASST
</t>
  </si>
  <si>
    <t>Resolucion de integración COPASST aprobada</t>
  </si>
  <si>
    <t xml:space="preserve">Rector
Secretaria General 
Profesional Universitario del area de SST </t>
  </si>
  <si>
    <t>Bianual</t>
  </si>
  <si>
    <t>Talento Humano, Recursos Físicos</t>
  </si>
  <si>
    <t>Resolucion de conformacion del COPASST</t>
  </si>
  <si>
    <t>Con oficio 5.1.4-52/525 del 24/11/2023 se reportó:
Resolucion R-030 de 2023 se convoco la eleccion de los representantes del COPASST y fue declarada desierta dado que no se presentaron candidatos 
https://www.unicauca.edu.co/versionP/documentos/resoluciones/resoluci%C3%B3n-rectoral-r-030-de-2023-por-la-cual-se-convoca-la-elecci%C3%B3n-de-representantes-del-copas</t>
  </si>
  <si>
    <t xml:space="preserve">Se presentaron gestiones para elección de representantes, sin embargo, no se logró la elección de los representantes al COPASST, </t>
  </si>
  <si>
    <t>Capacitación COPASST: Sin evidencia de la capacitación a integrantes del Comité, como lo establece el Art. 2.2.4.6.35 Decreto Único Reglamentario 1072 de 2015 y la Resolución 2013 de 1986.</t>
  </si>
  <si>
    <t>Falta de capacitacion a los integrantes del COPASST</t>
  </si>
  <si>
    <t xml:space="preserve">Incluir en el plan de capacitacion al COPASST
</t>
  </si>
  <si>
    <t xml:space="preserve">Incluir dentro del plan de capacitacion del año 2023 las tematicas referentes al SGSST que corresponden  a los integrantes del COPASST
</t>
  </si>
  <si>
    <t>Plan de capacitacion que incluya las actividades enfocadas al COPASST aprobado e implementado</t>
  </si>
  <si>
    <t xml:space="preserve">Plan de capacitacion ajustado 
Registros de asistencia a eventos institucionales
</t>
  </si>
  <si>
    <t>Con oficio 5.1.4-52/525 del 24/11/2023 se reportó que la capacitacion del COPASST esta programada dentro del plan de capacitacion de 2023, pero no ha podido llevarse a cabo dado que no se ha elegido los nuevos integrantes del COPASST</t>
  </si>
  <si>
    <t>No se presentaron evidencias adicionales, por lo que se mantiene el avance y la observación de la OCI:
Se recomienda que las capacitaciones se realicen por entes certificadores con mínimo las 50 horas exigidas por la norma.
El avance queda sujeto a la presentación de las certificaciones</t>
  </si>
  <si>
    <t xml:space="preserve">Programa Capacitación promoción y prevención – PyP: No determina las dependencias y/o grupos de servidores a quienes se dirigen las capacitaciones, incumpliendo el # 6 Art. 2.2.4.6.12 del Decreto Único Reglamentario 1072 de 2015.
Implementacion de medidas de prevencion y control de peligros /riesgos: falta de capacitacion sobre medidas de prevencion y control de riesgos </t>
  </si>
  <si>
    <t>Falta determinar en el plan de capacitacion de promoción y prevención las dependencias y/o grupos de servidores a los cuales se dirige la actividad.</t>
  </si>
  <si>
    <t xml:space="preserve">Determinar en el plan de capacitacion de promoción y prevención los grupos poblacionales a los cuales se dirige la actividad </t>
  </si>
  <si>
    <t xml:space="preserve">Incluir en el plan de capacitacion las dependencias a las cuales van dirigidas las capacitaciones 
</t>
  </si>
  <si>
    <t xml:space="preserve">Plan de capacitacion de promoción y prevención con grupos poblacionales definidos según la actividad
</t>
  </si>
  <si>
    <t xml:space="preserve">Formato del plan de capacitacion ajustado
Registros de asistencia a eventos institucionales </t>
  </si>
  <si>
    <t>Con oficio 5.1.4-52/525 del 24/11/2023 se reportó:
Registros de asistencia a capacitaciones y oficios de las convocatorias (departamento de física, geografia, educación física, matemáticas Química, aréa de mantenimiento, taller editorial, area de seguridad, desarrollo editorial, DAE, área de gestión documental, División de Gestión de la Investigación, Centro de Gestión de la Calidad, Centro de investigación historicas, CECA, entre otros)</t>
  </si>
  <si>
    <t>Se evidencia los listados de asistencia de las capacitaciones realizadas a las Dependencias Universitarias, por lo que se asigna avance de 100%.
Pendiente valoración de efectividad.</t>
  </si>
  <si>
    <t>Política del Sistema de Gestión de Seguridad y Salud en el Trabajo SG-SST firmada, fechada y comunicada al COPASST: Pese al cumplimento de lo dispuesto en los artículos 2.2.4.6.5 y 2.2.4.6.6 del Decreto Único Reglamentario 1072 de 2015 en lo relacionado con la suscripción por el representante legal, la Política de SGSST no ha surtido el trámite aprobatorio conforme a los lineamientos del Art. 13 del AS.105 de 1993, tampoco revisada ni actualizada según el numeral 5 artículo 2.2.4.6.6 del Decreto Único Reglamentario 1072 de 2015.</t>
  </si>
  <si>
    <t xml:space="preserve">Falta la aprobacion de la Política de SGSST por parte del consejo superior </t>
  </si>
  <si>
    <t xml:space="preserve">Dar cumplimiento al Art. 3 del AS 105 de 1993. </t>
  </si>
  <si>
    <t>Presentar ante el consejo superior la politica del SGSST para su aprobacion</t>
  </si>
  <si>
    <t>Política del SGSST aprobada por el consejo superior</t>
  </si>
  <si>
    <t>Acuerdo superior por el cual se adopte la politica de SST</t>
  </si>
  <si>
    <t xml:space="preserve">Propuesta de Política de SST revisada por el Comité de Direccion </t>
  </si>
  <si>
    <t xml:space="preserve">No se presentan evidencias adicionales, se mantiene el avance.
</t>
  </si>
  <si>
    <t>Objetivos definidos, claros, medibles, cuantificables, con metas, documentados, revisados del SG-SST: Sin evidencia de la medición y cuantificación de los objetivos específicos expresos en el documento: “Sistema de Gestión de la Seguridad y Salud en el Trabajo”, Código: PA-GA.5.4.1–OD-1 del 29/04/2019; con incumplimiento con los Arts. 2.2.4.6.8; 2.2.4.6.12; 2.2.4.6.17; 2.2.4.6.18 y 2.2.4.6.22 Decreto Único Reglamentario 1072 de 2015</t>
  </si>
  <si>
    <t>Falta medicion a los objetivos del SGSST</t>
  </si>
  <si>
    <t>Medir los objetivos del SGSST</t>
  </si>
  <si>
    <t xml:space="preserve">Establecer los indicadores para la medicion los objetivos </t>
  </si>
  <si>
    <t>Indicadores de medición de objetivos implementados</t>
  </si>
  <si>
    <t xml:space="preserve">Medicion de los objetivos </t>
  </si>
  <si>
    <t>Con oficio 5.1.4-52/525 del 24/11/2023 se reportó:
Matriz en Excel con los indicadores para los objetivos</t>
  </si>
  <si>
    <t>Se evidencia la definición de indicadores para 8 objetivos, sin embargo, no se presentó su formalización o aprobación y los resultados de la implementación y medición.
Avance del 50%</t>
  </si>
  <si>
    <t>El Plan Anual de trabajo no está suscrito por el representante de la Universidad; contraviene lo establecido en el # 5 Art. 2.2.4.6.12 del Decreto Único Reglamentario 1072 de 2015, ni relaciona los recursos y metas como lo establecen los Arts. 2.2.4.6.8 y 2.2.4.6.17 del mismo Decreto</t>
  </si>
  <si>
    <t>Falta la firma del rector en el plan de trabajo anual y los recursos y metas por cada actividad</t>
  </si>
  <si>
    <t xml:space="preserve">Enviar el plan de trabajo anual  para firma del rector y definir la meta y los recursos para cada actividad </t>
  </si>
  <si>
    <t>Presentar al rector el plan de trabajo anual para su aval a traves de firmado y realizar los ajustes individualizando las metas y recursos</t>
  </si>
  <si>
    <t xml:space="preserve">Plan de trabajo anual firmado por el rector y con metas y recursos definidos </t>
  </si>
  <si>
    <t xml:space="preserve">Plan de trabajo anual firmado y ajustado </t>
  </si>
  <si>
    <t>Plan anual de trabajo firmado por el Rector</t>
  </si>
  <si>
    <t xml:space="preserve">Se elaboró el Plan Anual de Trabajo el cual cuenta con el aval de Rectoría
Se otorga un avance del 100%
</t>
  </si>
  <si>
    <t>Archivo o retención documental del SG-SST: Se evidencia cumplimento parcial de los Arts. 2.2.4.6.12 (1) y 2.2.4.6.13 (2) del Decreto Único Reglamentario 1072 de 2015</t>
  </si>
  <si>
    <t xml:space="preserve">Falta de organización en el archivo de gestion documental  </t>
  </si>
  <si>
    <t>Organizar acorde con las normas de gestion documental el archivo de gestion</t>
  </si>
  <si>
    <t>Solicitar el apoyo de la secretaria general para subsanar las observaciones en el archivo de gestion.</t>
  </si>
  <si>
    <t xml:space="preserve">Archivo de gestion organizado </t>
  </si>
  <si>
    <t>Equipo de trabajo del Area de SST</t>
  </si>
  <si>
    <t xml:space="preserve">Con oficio 5.1.4-52/525 del 24/11/2023 se reportó:
Comunicación de la Secretaría General 2.1.1-92.8/217 del 30/10/2023, verificación y validación de la TRD
Oficio de respuesta a comunicación 5.1.4-92.5/503 del 8/11/2023.
Indice o inventario individual para legajos </t>
  </si>
  <si>
    <t>Pendiente revisar el archivo de gestión</t>
  </si>
  <si>
    <t xml:space="preserve">Rendición sobre el desempeño: Revisados los documentos institucionales de rendición de cuentas vigencias 2020 y 2021 frente al #3 del Art. 2.2.4.6.8 del Decreto Único Reglamentario 1072 de 2015 no se encuentra evidencia particular y específica con relación al desempeño del SG-SST. </t>
  </si>
  <si>
    <t xml:space="preserve">Carencia de aspectos relacionados con el desempeño del SGSST en la rendicion de cuentas </t>
  </si>
  <si>
    <t xml:space="preserve">Comunicar a la comunidad universitaria en la rendicion de cuentas las actividades  especificas del SGSST </t>
  </si>
  <si>
    <t>Especificar en el documento de rendicion de cuentas las actividades especificas del SGSST
Solicitar un acceso en el pagina web de la institucion que permita llegar de forma rapida a la informacion de SST</t>
  </si>
  <si>
    <t>Documento de rendicion de cuentas especificando las actividades del SGSST con acceso a la informacion del area de SST con registro en el Banner en la pagina web de la Universidad</t>
  </si>
  <si>
    <t>Director del centro de gestion de las comunicaciones
Profesional Universitario del Area de SST</t>
  </si>
  <si>
    <t>Documento de rendicion de cuentas con especificaciones del SGSST
Banner del area de SST</t>
  </si>
  <si>
    <t xml:space="preserve">En el documento de rendicion de cuentas de la Institucion dentro de la vicerrectoría Administrativa describe las actividades realizadas por SST
Se envio la informacion al Ing. Fabian Serna de la TIC relacionada con SST para la modernizacion del portal WEB de UniCauca </t>
  </si>
  <si>
    <t>Se incluyen las actividades de Seguridad y Salud en el Trabajo en el informe de rendición de cuentas de la vigencia 2022.
Pendiente la visibilizar los resultados de la vigencia 2023, y la medición de los indicadores definidos en la actividad anterior.
Se asigna avance de 50%</t>
  </si>
  <si>
    <t xml:space="preserve">Mecanismos de comunicación, auto reporte en Sistema de Gestión de Seguridad y Salud en el Trabajo SG-SST: Revisadas la plataforma LVMEN y página web institucional no se evidencia herramientas de auto reporte. </t>
  </si>
  <si>
    <t>El formato de autoreporte no se encuentra en el programa LVMEN</t>
  </si>
  <si>
    <t xml:space="preserve">Publicar el formato de reporte de condiciones o practivas inseguras </t>
  </si>
  <si>
    <t xml:space="preserve">Solicitar al centro de gestion de la calidad subir el formato de reporte de condiciones o practivas inseguras en el programa LVMEN </t>
  </si>
  <si>
    <t xml:space="preserve">Formato de reporte de condiciones o actos inseguros publicado </t>
  </si>
  <si>
    <t>Tecnico administrativo del centro de gestion de la calidad y profesional universitario del Area de SST</t>
  </si>
  <si>
    <t>Formato de reporte de condiciones o actos inseguros en LVMEN</t>
  </si>
  <si>
    <t xml:space="preserve">PA-GA-5.1.4-FOR-50 reporte de practicas y condiciones inseguras </t>
  </si>
  <si>
    <t xml:space="preserve">Formato de reporte de practicas o condiciones inseguras publicado en LVMEN
Se otorga un avance del 100%
</t>
  </si>
  <si>
    <t xml:space="preserve">Las historias clínicas ocupacionales no evidencian ubicación topográfica, los archivadores son insuficientes y no están señalizados y organizados; con lo que se vulnera la cadena de custodia y, lo dispuesto en las normas de Gestión Documental y del Ministerio de Protección Social, Resolución 2346/2007. </t>
  </si>
  <si>
    <t>El espacio de archivo es insuficiente y no se encuentran las historias con ubicación topografica</t>
  </si>
  <si>
    <t>Aplicar las normas de archivo para la organización de las HCO</t>
  </si>
  <si>
    <t>Solicitar la instalacion de un archivo rodante para el area de SST cn el fin de organizar las historias clinicas ocupacionales.
Solicitar apoyo a la secretaria general para reforzar los conceptos y organizacion del archivo de HCO.
Realizar la ubicación topografica y señalizacion de las HCO en los archivadores existentes</t>
  </si>
  <si>
    <t xml:space="preserve">Archivo rodante instalado
Archivo de HCO organizado
HCO ubicadas topograficamente </t>
  </si>
  <si>
    <t>Vicerector administrativo 
Tecnico administrativo de la Secretaria general
Profesional Universitario del Area de SST</t>
  </si>
  <si>
    <t>Instalacion de archivo rodante
Archivo de HCO con ubicación topografica y señalizacion</t>
  </si>
  <si>
    <t>No se reportan evidencias para la actividad.</t>
  </si>
  <si>
    <t xml:space="preserve">Relacion de medicion de ausentismo por causa medica </t>
  </si>
  <si>
    <t xml:space="preserve">Falta el analisis del ausentismo laboral por causa medica.
</t>
  </si>
  <si>
    <t>Analizar las causas de ausentismo por causa medica  con el apoyo de la herramienta de registro de ausentismo</t>
  </si>
  <si>
    <t>Ausentismo laboral por causa medica analizado en el comité de SST</t>
  </si>
  <si>
    <t xml:space="preserve">Ausentismo laboral por causa medica analizado </t>
  </si>
  <si>
    <t>Integrantes del Comité de SST</t>
  </si>
  <si>
    <t>Semestral</t>
  </si>
  <si>
    <t xml:space="preserve">Diagnostico de causalidad de ausentismo </t>
  </si>
  <si>
    <t xml:space="preserve">SIGA implementado </t>
  </si>
  <si>
    <t>Cuentan con una herramienta tecnólogica que permite realizar seguimiento y análisis al ausentismo en la Universidad del Cauca.
Se otorga un avance del 100%</t>
  </si>
  <si>
    <t xml:space="preserve">Implementacion de medidas de prevencion y control de peligros/riesgos identificados: condiciones inseguras en laboratorios </t>
  </si>
  <si>
    <t xml:space="preserve">Falencias en las condiciones de seguridad en los laboratorios visitados para la auditoria </t>
  </si>
  <si>
    <t xml:space="preserve">Realizar un diagnostico de condiciones de seguridad en los laboratorios de la Universidad y establecer medidas de control de riesgos
</t>
  </si>
  <si>
    <t xml:space="preserve">De manera articulada con el departamento de quimica y el area ambiental Inspeccionar todos los laboratorios de la Universidad  y recomendar medidas de control ante hallazgos 
</t>
  </si>
  <si>
    <t xml:space="preserve">Laboratorios de la institucion inspeccionados </t>
  </si>
  <si>
    <t xml:space="preserve">Profesional Universitario del centro de gestion de la calidad - Area ambiental
Contratista del comité de desactivacion del departamento de quimica
Tecnico administrativo del Area de SST </t>
  </si>
  <si>
    <t xml:space="preserve">Informe de condiciones de seguridad de laboratorios y plan de mejora para los 5 mas criticos </t>
  </si>
  <si>
    <t>Con oficio 5.1.4-52/525 del 24/11/2023 se reportó:
Registro de asistencia del 16/06/2023 de primeros auxilios y uso de botiquines en laboratorios
Concepto técnico de puestos de trabajo, bajo Programa de gestión de la seguridad industrial con POSITIVA compañia de seguros, para laboratorios de química Analítica Ambiental, laboratorio de Electroquímica y Productos Naturales; presenta conclusiones y recomendaciones.
Informe de inspecciones generales, laboratorio de biología 
Encuesta de peligros y aspectos</t>
  </si>
  <si>
    <t>Se evidencia algunos informes de condiciones de seguridad de laboratorios,  pendiente la inspección de la totalidad de laboratorios y la elaboración de los planes de mejoramiento con los resultados obtenidos.
Avance de 50%.</t>
  </si>
  <si>
    <t>Implementacion de medidas de prevencion y control de peligros/riesgos identificados: entrega y utilizacion de los EPP 
Entrega de Elementos de Protección Personal EPP, se verifica con contratistas y subcontratistas: En las vigencias 2020 y 2021 se registra una matriz de identificación de necesidades y 52 entregas de EPP; sin evidencia de entregas de EPP a todos los servidores que aplican, algunos desde el año 2019 (Área de Mantenimiento, laboratorios y servicio de mensajería), situación contraria a lo dispuesto en los arts. 2.2.4.6.10, 2.2.4.6.11, 2.2.4.6.12, 2.2.4.6.24 y 2.2.4.6.27 del Decreto 1072 de 201</t>
  </si>
  <si>
    <t>No se entregaron los EPP a todos los servidores durante la vigencia 2020 y 2021</t>
  </si>
  <si>
    <t xml:space="preserve">Dotar de los elementos de proteccion personal a los trabajadores que los requieran </t>
  </si>
  <si>
    <t xml:space="preserve">Implementar  lo establecido en el procedimiento de solicitud y entrega de elementos de proteccion personal (entrega, capacitacion y seguimiento) </t>
  </si>
  <si>
    <t>Servidores publicos dotados de EPP</t>
  </si>
  <si>
    <t>Vicerector  administrativo
Tecnico administrativo del Area de adquisiciones e inventarios 
Profesional Universitario del Area de SST 
Tecnico administrativo del Area de SST</t>
  </si>
  <si>
    <t xml:space="preserve">Acta de entrega de EPP 
Registro de asistencia a eventos institucionales
Acta de seguimiento a EPP </t>
  </si>
  <si>
    <t>Con oficio 5.1.4-52/525 del 24/11/2023 se reportó:
Formatos de seguimiento en el uso de elementos de protección personal: Facultad de ingeniería electrónica, civil, área de mantenimiento/aseo, laboratorio biología, departamento morfología, laboratrio de química, división administrativa y de servicios - metalisteria, entte otros.</t>
  </si>
  <si>
    <t>Se realizó seguimiento al uso de elementos de protección personal, actividad 5 del procedimiento PA-GA-5.1.4-PR-1, versión 2, del 2017.
Se asigna avance del 100% pendiente valoración de efectividad.</t>
  </si>
  <si>
    <t xml:space="preserve">
Implementacion de medidas de prevencion y control de peligros/riesgos identificados: edificios sin puntos de anclaje </t>
  </si>
  <si>
    <t xml:space="preserve">Falta de puntos de anclaje en las sedes universitarias </t>
  </si>
  <si>
    <t xml:space="preserve">Instalar los puntos de anclaje en las sedes universitarias
Diseñar e implementar el programa de proteccion contra caidas a alturas  </t>
  </si>
  <si>
    <t xml:space="preserve">Reiterar a la vicerrectoria administrativa la solicitud de instalacion de los puntos de anclaje 
Socializar el programa de proteccion contra caidas de alturas
Adquisicion del kit de medidas de proteccion contra caidas de alturas para las sedes universitarias 
</t>
  </si>
  <si>
    <t xml:space="preserve">Documento de solicitud de instalacion de puntos de anclaje recibido en la VRADM
Programa de proteccion contra caidas socializado
Sedes universitarias dotadas del kit de proteccion contra caidas y trabajo en alturas </t>
  </si>
  <si>
    <t xml:space="preserve">Vicerector administrativo
Profesional especializado del a DAS
Tecnico administrativo del Area de adquisiciones e inventarios 
Profesional Universitario del Area de SST </t>
  </si>
  <si>
    <t>Oficio de solicitud de puntos de anclaje 
Programa de proteccion contra caidas publicado en LUMEN 
Actas de entrega de elementos de proteccion contra caidas</t>
  </si>
  <si>
    <t>No se reportan evidencias acorde a la unidad de medida y medio de verificación para la actividad.</t>
  </si>
  <si>
    <t>Elaboración de procedimientos, instructivos, fichas, protocolos: Con excepción del “Procedimiento Reporte e Investigación de Accidentes de Trabajo”, código PA-GA-5.1.4-PR-4, la documentación publicada en la plataforma LVMEN está desactualizada</t>
  </si>
  <si>
    <t xml:space="preserve">Algunos documentos en el programa LVMEN se encuentran desactualizados. </t>
  </si>
  <si>
    <t xml:space="preserve">Actualizar y publicar los documentos del SGSST en el programa LVMEN
</t>
  </si>
  <si>
    <t xml:space="preserve">Revisar, actualizar o construir los protocolos, procedimientos, instructivos correspondientes al SGSST  para ser publicados  en el programa LVMEN
</t>
  </si>
  <si>
    <t xml:space="preserve">Documentos del SGSST publicados  en LVMEN
</t>
  </si>
  <si>
    <t>Tecnico administrativo del Centro de gestion de la calidad 
profesional Universitario del Area de SST</t>
  </si>
  <si>
    <t>Documentos del SGSST en el Programa LVMEN</t>
  </si>
  <si>
    <t>Con oficio 5.1.4-52/525 del 24/11/2023 se reportó:
Se actualizan los formatos: 8,11,23,34,35,37,44,47,48,49 y 50.
y los procedimientos 16 y 17.</t>
  </si>
  <si>
    <t>Se evidenció en el programa Lvmen el formato PA-GA-5.1.4-FOR-49 Gestión de la Seguridad y Salud en el Trabajo Inspección, versión 1 del 01/06/2023, y PA-GA-5.1.4-FOR-50 versión 1 del 02/07/2023
Las fechas de actualización de lo formatos y procedimientos, son anteriores a la fecha de suscripción del Plan de Mejoramiento. 
Se asigna avance de 10%, pendiente la revisión y actualiazación de los documentos del programa Lvmen.</t>
  </si>
  <si>
    <t>Realización de inspecciones sistemáticas a las instalaciones, maquinaria o equipos con la participación del COPASST: Si bien existen cronogramas para inspecciones y actas de soportes de seguimiento para verificar la implementación, en las vigencias 2021 y 2022 no se evidencia un plan integral con alcance a todas las áreas, equipos, máquinas y herramientas. Tampoco se observa participación activa del COPASST en la construcción del cronograma de verificación, contrariando lo dispuesto en los arts. 2.2.4.6.10 y 2.2.4.6.24 del Decreto 1072 de 2015.</t>
  </si>
  <si>
    <t>Falta vincular a los integrantes del COPASST en las inspecciones de seguridad</t>
  </si>
  <si>
    <t xml:space="preserve">Fortalecer los procesos de capacitacion a las partes interesadas  en inspecciones de seguridad y vincular a los integrantes del COPASST en las visitas de inspeccion
</t>
  </si>
  <si>
    <t>Incluir dentro de los responsables en el plan de trabajo anual a los integrantes del COPASST</t>
  </si>
  <si>
    <t>Informes de inspecciones elaborardos con participacion del COPASST</t>
  </si>
  <si>
    <t>Profesional Universitario Area de SST
Integrantes del COPASST
Asesores de la Adminstradora de Riesgos Laborales (ARL)</t>
  </si>
  <si>
    <t>Informes de inspecciones
Registro de asistencia a eventos institucionales</t>
  </si>
  <si>
    <t>La empresa adelanta auditoría por lo menos una vez al año: Sin evidencia del programa de auditoría anual al SGSST y de registros sobre la participación del COPASST en la planeación de la Evaluación del Sistema, lo que contraría lo dispuesto en los arts. 2.2.4.6.12, 2.2.4.6.17, 2.2.4.6.12, 2.2.4.6.29 y 2.2.4.6.30 del Decreto 1072 de 2015.
Planificación auditorías con el COPASST: Sin evidencia de un programa de auditorías anual al SGSST y de registros sobre la participación del COPASST en la planeación de la Evaluación del Sistema, lo que contraría lo dispuesto en los arts. 2.2.4.6.12, 2.2.4.6.29 y 2.2.4.6.31 del Decreto 1072 de 2015</t>
  </si>
  <si>
    <t>La institucion no cuenta con personal con las competencias para desarrrollar una auditoria al SGSST</t>
  </si>
  <si>
    <t xml:space="preserve">Formar auditores en SGSSTpara la realziación de la auditoría anual
</t>
  </si>
  <si>
    <t xml:space="preserve">Capacitar personal  para realizar auditorias al SGSST
Realizar la auditoria anual </t>
  </si>
  <si>
    <t>Auditoria al SGSST realizada</t>
  </si>
  <si>
    <t>Profesional universitario del Área de SST</t>
  </si>
  <si>
    <t>Informe de auditoria</t>
  </si>
  <si>
    <t xml:space="preserve">Certificado en auditor interno SST  </t>
  </si>
  <si>
    <t>Sin evidencias adicionales a las presentadas en el I semestre 2023, se mantiene la observiación.
Observación OCI: El avance queda sujeto a la presentación del informe de auditoría anual</t>
  </si>
  <si>
    <t>Revisión anual por la alta dirección, resultados y alcance de la auditoría: Sin registros de evidencia de la revisión anual al SGSST por parte de Dirección Universitaria, lo anterior contraría lo dispuesto en los arts. 2.2.4.6.30, 2.2.4.6.31, 2.2.4.6.33 y 2.2.4.6.34 del Decreto 1072 de 2015
Acciones de mejora conforme a revisión de la alta dirección y 7.1.3 Acciones de mejora con base en investigaciones de accidentes de trabajo y enfermedades laborales: Sin evidencia de acciones de mejora según directrices de la Dirección Universitaria y los ATEL, como lo establecen los arts. 2.2.4.6.12, 2.2.4.6.32, 2.2.4.6.33 y 2.2.4.6.34 del Decreto 1072 de 2015</t>
  </si>
  <si>
    <t xml:space="preserve">Falta de retroalimentacion por parte de la alta direccion frente a los informes presentados por el area de SST y seguimiento a las medidas de intervencion propuestas en las investigaciones de AT y EL </t>
  </si>
  <si>
    <t xml:space="preserve">Solicitar al rector retroalimentacion a los informes del SGSST al documento
Realizar seguimiento a las investigaciones de AT y EL 
                                                                    </t>
  </si>
  <si>
    <t xml:space="preserve">Remitir  los informes del SGSST al rector y solicitar retroalimentacion al documento.    
Realizar seguimiento a las medidas de intervencion propuestas en las investigaciones de AT y EL  
                                                                    </t>
  </si>
  <si>
    <t>Documento con la revision anual por la alta direccion enviado al Area de SST
Casos de AT y El cerrados</t>
  </si>
  <si>
    <t xml:space="preserve">Rector
Profesional Universitario Area de SST
Medico especialista del Area de SST </t>
  </si>
  <si>
    <t>Informe de revision por la alta direccion 
Registros de implementacion a las medidas de intervencion producto de las investigaciones</t>
  </si>
  <si>
    <t xml:space="preserve">Pendiente la entrega del informe. </t>
  </si>
  <si>
    <t>Definición de acciones preventivas y correctivas con base en resultados del SG-SST: El documento Plan de Mejoramiento para los estándares mínimos SGSST 2021, enuncia actividades a realizar, responsables por dependencias y fechas de realización, sin embargo, el documento incumple con la exigencia de los arts. 2.2.4.6.12, 2.2.4.6.33 y 2.2.4.6.34 del Decreto 1072 de 2015, frente a determinar recursos, metas, cronogramas, análisis de causas de las no conformidades, seguimiento de las acciones y medición de la efectividad.</t>
  </si>
  <si>
    <t>El plan de mejoramiento no determinar recursos, metas, cronogramas, análisis de causas de las no conformidades, seguimiento de las acciones y medición de la efectividad.</t>
  </si>
  <si>
    <t xml:space="preserve">Actualizar Formato de plan de mejoramiento </t>
  </si>
  <si>
    <t>Ajustar el Plan de Mejoramiento para estandares minimos que incluya  recursos,metas e indicadores</t>
  </si>
  <si>
    <t>Plan de mejoramiento ajustado</t>
  </si>
  <si>
    <t>Profesional Universitario Area de SST</t>
  </si>
  <si>
    <t xml:space="preserve">Plan de mejoramiento ajustado </t>
  </si>
  <si>
    <t xml:space="preserve">Se realizan los ajustes a la matriz del plan de mejora, sin ambego aún no considera el análisis de causas de las no conformidades, seguimiento de las acciones y medición de la efectividad.
Se otorga un avance del 80%
Observación OCI: El avance queda sujeto al ajuste del Plan de Mejoramiento que incluya análisis de causas de las no conformidades, seguimiento de las acciones y medición de la efectividad. </t>
  </si>
  <si>
    <t>División Administrativa y de Servicios</t>
  </si>
  <si>
    <t>23/11/2023</t>
  </si>
  <si>
    <t>Miguel R - Mario C- Mabel U.</t>
  </si>
  <si>
    <t>Informe Nº 2.6-52.18/21 de 2021 DE EVALUACIÓN A LA IMPLEMENTACIÓN DEL PLAN DE MANTENIMIENTO DE BIENES MUEBLES, INMUEBLES Y EQUIPOS DE LA UNIVERSIDAD DEL CAUCA</t>
  </si>
  <si>
    <t xml:space="preserve">Descripción, Hallazgo,  Observaciones </t>
  </si>
  <si>
    <r>
      <t>Gestión
(</t>
    </r>
    <r>
      <rPr>
        <sz val="11"/>
        <color theme="0"/>
        <rFont val="Arial"/>
        <family val="2"/>
      </rPr>
      <t>% subsana la causa y hallazgo</t>
    </r>
    <r>
      <rPr>
        <b/>
        <sz val="11"/>
        <color theme="0"/>
        <rFont val="Arial"/>
        <family val="2"/>
      </rPr>
      <t>)</t>
    </r>
  </si>
  <si>
    <t>Pese a que la caracterización del subproceso prevé en sus entradas y en las actividades de planeación la identificación y el diagnóstico de necesidades para el mantenimiento de los bienes muebles, inmuebles y equipos, no se logran evidenciar los registros de su implementación por vigencia.</t>
  </si>
  <si>
    <t>3. Porqué el formato o herramienta estaba desactualizado.</t>
  </si>
  <si>
    <t>Actualizar herramienta de control de actividades.</t>
  </si>
  <si>
    <t>1. Identificar los campos requeridos para la herramienta.
2. Establecer los medios de control para su seguimiento.</t>
  </si>
  <si>
    <t>Actualizar Herramienta</t>
  </si>
  <si>
    <t>Profesional Universitario, Tecnico Operativo.</t>
  </si>
  <si>
    <t>Talento Humano</t>
  </si>
  <si>
    <t>Herramienta actualizada</t>
  </si>
  <si>
    <t>Con oficio del 05 de julio de 2023 emitido desde el correo dadministrativa@unicauca.edu.co se remitió: 
http://www.unicauca.edu.co/prlvmen/sites/default/files/procesos/PA-GA-5.4.1-FOR-16 Acta de Visitas a Instalaciones y Reporte V2.xlsx
http://www.unicauca.edu.co/prlvmen/sites/default/files/procesos/PA-GA-5.4.1-PR-24 Procedimiento para la Trazabilidad V1.pdf</t>
  </si>
  <si>
    <t>Se verifica que el PA-GA-5.4.4- FOR 16 y el procedimiento PA-GA-5.4.1.PR-24 se encuentran publicados en LVMEN.
Por lo anterior, el avance pasa dell 90% al 100%.</t>
  </si>
  <si>
    <t>La actividad presenta efectividad del 50%, por: 
1. Promedio eficacia y eficiencia 50%
2. Gestión del 50%.
3. Impacto del 50%. 
Se actualizó la herramienta para el control de actividades, sin embargo, el procedimiento no es referente de operación</t>
  </si>
  <si>
    <t>No se evidencian los registros de los puntos de control del procedimiento “Mantenimiento preventivo, correctivo de equipos e infraestructura física” y del protocolo “Mantenimiento de Edificios”, que exige la documentación de las visitas a las instalaciones físicas en el formato PA-GA-5.4-FOR-16 V0 actualización 12/02/2021 y, en el caso del protocolo la rutina anual de verificación; situación que podría afectar la trazabilidad de la programación inicial y la justificación de las nuevas necesidades identificadas y priorizadas por vigencia.</t>
  </si>
  <si>
    <t>Implementar el formato PA-GA-5.4-FOR-16 V0.</t>
  </si>
  <si>
    <t>Socializar, actualizar e implementar el formato PA-GA-5.4-FOR-16 V0.</t>
  </si>
  <si>
    <t>Formato socializado y verificado.</t>
  </si>
  <si>
    <t>1. Formato PA-GA-5.4-FOR-16  Actualizado. 
2. Acta de socialización.</t>
  </si>
  <si>
    <t>Con oficio del 05 de julio de 2023 emitido desde el correo dadministrativa@unicauca.edu.co se remitió: 
Se anexan las actas de implementación 002, 003 y 047; y Acta de Reunión de socialización de visitas 007
Con oficio 5.4.1-52.92/3383 del 23/11/2023 el Área de mantenimiento remitió las actas 5.4.1-1.56/15 del 16/02/2023, 5.4.1-1.56/29 del 06/09/2023</t>
  </si>
  <si>
    <t>En el seguimiento realizado por la OCI el 14/12/2022, se verificó la actualización y socialización del formato PA-GA-5.4-FOR-16, por lo que el avance pasa al 70%, el 30% restante queda sujeto a la implementación con la última versión, del  15/09/2022, ya que las visitas realizadas se evidencian en el formato de acta anterior. 
2023- II: Se actualizó la herramienta para el control de actividades y se verifica su implementación según actas 5.4.1-1.56/08, 10, 15 de febrero del 2023, 5.4.1-1.56/29 del 06/09/2023</t>
  </si>
  <si>
    <t>La actividad presenta efectividad del 83%, por: 
1. Promedio eficacia y eficiencia 50%
2. Gestión del 100%.
3. Impacto del 100%. 
Se actualizó la herramienta para el control de actividade y actualmente se implementa.</t>
  </si>
  <si>
    <t xml:space="preserve">El documento “Planeación Actividades Quinquenio 2018-2022”, no constituye referente para la identificación de las necesidades previstas en el Plan de Mantenimiento. </t>
  </si>
  <si>
    <t>Actualizar el plan de actividades para el periodo 2023-2027 con base en los resultados del informe de ejecución del quinqueno 2018-2022.</t>
  </si>
  <si>
    <t xml:space="preserve"> 1. Analizar los resultados de la implementación del plan de mantenimiento 2018-2022.
2. Formular el documento de Actividades Quinquenio 2023-2027.</t>
  </si>
  <si>
    <t>Documento Formulado. Resultado de actividades.</t>
  </si>
  <si>
    <t>Profesional Especializado de Mantenimiento DAS. Profesional Universitario, Tecnico Operativo.</t>
  </si>
  <si>
    <t xml:space="preserve">
1. Informe Final 2018-2022. 
2. Documento plan de actividades del quinquenio 2023-2027.</t>
  </si>
  <si>
    <t xml:space="preserve">El Área de Mantenimiento remitió las evidencias mediante correo electrónico del 14/08/2023, por lo que éstas se valoran en el seguimiento del segundo semestre del 2023
Se presentan las evidencias: 
1. La remisión del informe de resultados del plan de mantenimiento 2018-2022.
2. La publicación en la plataforma LVMEN del plan de mantenimiento 2023- 2027
</t>
  </si>
  <si>
    <t>En el segumiento del 14/12/2023 quedó pendiente la formalización del informe de resultados del plan de mantenimiento 2018-2022, y del plan de mantenimiento 2023- 2027.
2023-2: Se evidencia la formalización del informe de resultados del plan de mantenimiento 2018-2022, y la publicación del plan de mantenimiento 2023- 2027 en el programa LVMEN, por lo que el el avance de la actividad pasa del 90% al 100%</t>
  </si>
  <si>
    <t xml:space="preserve">La actividad presenta efectividad del 75%, por: 
1. Promedio eficacia y eficiencia 50%
2. Gestión del 100%. Se presentaron las propuestas del informe de resultados del plan de menatenimiento 2018-2022, y el plan de mantenimiento 2023-2027, los cuales se encuentran formalizados. 
3. Impacto del 75%. El porcentaje restante será valorado con las evidencias de la implementación del plan de mantenimiento 2023-2027. 
</t>
  </si>
  <si>
    <t>No se documentan las actas de 2021 en el formato aprobado, ni atienden las normas de gestión documental en lo relativo a la organización y aplicación de la Tabla de Retención Documental – TRD, situación generadora de riesgo respecto de su valor documental</t>
  </si>
  <si>
    <t>Aplicar de las tablas de retención documental en la elaboracion de actas</t>
  </si>
  <si>
    <t xml:space="preserve">Solicitar a la división del talento humano para capacitación. </t>
  </si>
  <si>
    <t>Oficio de solicitud.</t>
  </si>
  <si>
    <t>Técnico Administrativo.</t>
  </si>
  <si>
    <t>Oficio  de solicitud. Registro de asistencia.</t>
  </si>
  <si>
    <t xml:space="preserve">Se realizó capacitación 10/05/2022. Consultar informe con Gestión Documental. </t>
  </si>
  <si>
    <t xml:space="preserve">La actividad presenta efectividad del 92%, por: 
1. Promedio eficacia y eficiencia 86%.
2. Gestión del 100%. Se realizó capacitación sobre Gestión Documental.
3. Impacto del 90%. En las actas del segundo semestre del 2021 se evidencia el uso de la tabla de retención documental. 
</t>
  </si>
  <si>
    <t>La herramienta de planificación utilizada para consolidar y priorizar las necesidades conforme a la capacidad de recursos, se limita a la distribución presupuestal en la vigencia quinquenal, con lo que no se abordan elementos propios del direccionamiento estratégico con vigencia anual, que prevé el cronograma, la definición de responsables, indicadores, riesgos y utilización de recursos no financieros.</t>
  </si>
  <si>
    <t>Actualizar Herramienta de Planificación con elementos propios del direccionamiento estrategico.</t>
  </si>
  <si>
    <t xml:space="preserve"> Actualizar herramienta de planificación y definir campos requeridos.</t>
  </si>
  <si>
    <t>Herramienta actualizada.</t>
  </si>
  <si>
    <t>Con oficio del 05 de julio y 5.4.1-52.92/ 3383 del 23/11/2023 emitidos desde el correo dadministrativa@unicauca.edu.co y la División Administrativa y de Servicios respectivamente, se remitió: 
Matriz de seguimiento al plan Anual de mantenimiento a equipos e infraestructura con los campos dilgenciados
El Área de Mantenimiento remitió la herramienta actualizada mediante correo electrónico del 14/08/2023 por lo que ésta se valora en el seguimiento del segundo semestre del 2023.
Acta  5.4-1.56/36 del 20/11/2023.</t>
  </si>
  <si>
    <t xml:space="preserve">2023-1: Se verificó la actualización de la herramienta, con diligenciamiento completo.
Con lo anterior, pasa de un 85% a un 95% de avance, el 5% restante queda sujeto a la entrega del Acta. 
2023- 2:  Se evidencia que la herramienta se actualizó y socializó el seguimiento  con acta de reunión 5.4-1.56/36 del 20/11/2023, por lo que la actividad pasa al 100% de avance. 
La OCI sugiere que la herramienta sea implementada para el seguimiento del plan de mantenimiento 2023 -2027, con el de que impacte en la mejora. </t>
  </si>
  <si>
    <t>La actividad presenta efectividad del 63%, por: 
1. Promedio eficacia y eficiencia 50%. La actividad se cumplió fuera del tiempo establecido.
2. Gestión del 90%. se diligenciaron los campos, y se evidencia la socialzación respecto del seguimiento.
3. Impacto del 50%. No se evidencia la implementación en la vigencia 2023</t>
  </si>
  <si>
    <t>No se evidencia la programación de mantenimiento de equipos para el año 2021.</t>
  </si>
  <si>
    <t>Presentar la programación de actividades de mantenimiento 2021</t>
  </si>
  <si>
    <t xml:space="preserve">Recolectar y presentar la información de actividades de mantenimiento del 2021. </t>
  </si>
  <si>
    <t>Documento</t>
  </si>
  <si>
    <t>Profesional Universitario</t>
  </si>
  <si>
    <t xml:space="preserve"> Cronograma de actividades 2021 con seguimiento.</t>
  </si>
  <si>
    <t xml:space="preserve">En el seguimiento realizado por la OCI el 14/12/2022, se evidenció que la elaboración y publicación del cronograma de mantenimiento para el 2021 y 2022, por lo que se da cumplimiento a la actividad con un 100%. 
La OCI sugiere plasmar el seguimiento de las actividades del cronograma a través de actas. </t>
  </si>
  <si>
    <t xml:space="preserve">La actividad presenta efectividad del 92%, por: 
1. Promedio eficacia y eficiencia 86%.
2. Gestión del 100%. Se evidencia la elaboración y publicación de los cronogramas de actividades para la vigencia 2021 y 2022. 
3. Impacto del 90%. Se publicó el cronograma de actividades de la vigencia 2022, a la espera del cronograma de la vigencia 2023, de acuerdo con el nuevo plan de mantenimiento. </t>
  </si>
  <si>
    <t>En la generalidad de los contratos la actividad de registro en el software EPLUX la realiza directamente el personal técnico adscrito al Área, contrariando lo dispuesto en el procedimiento aplicable.</t>
  </si>
  <si>
    <t>Actualizar "PROCEDIMIENTO PARA CONTROL DE ACTIVIDADES DE MANTENIMIENTO PREVENTIVO EXTERNO".</t>
  </si>
  <si>
    <t>Procedimiento actualizado</t>
  </si>
  <si>
    <t>Con oficio del 05 de julio de 2023 emitido desde el correo dadministrativa@unicauca.edu.co se remitió: 
http://www.unicauca.edu.co/prlvmen/sites/default/files/procesos/PA-GA-5.4.1-PR-22%20%20Solicitud%20de%20actividades%20de%20Mantenimiento%20Externo%20V1.pdf</t>
  </si>
  <si>
    <t>Se verifica que el procedimiento PA-GA-5.4.1.PR-22 se encuentra publicado en LVMEN.
Por lo anterior, el avance pasa dell 90% al 100%.</t>
  </si>
  <si>
    <t>La actividad presenta efectividad del 50%, por: 
1. Promedio eficacia y eficiencia 50%
2. Gestión del 50%.
3. Impacto del 50%. 
Se actualizó el procedimiento para control de actividades de mantenimiento externo, pero éste no es referente de operación.</t>
  </si>
  <si>
    <t>En la ejecución se identifican actividades de mantenimientos programadas sin ejecutar, reemplazadas por mantenimientos no previstos, no obstante, no se evidencian registros que justifiquen las modificaciones, actualizaciones o priorizaciones del plan respecto de la programación inicial.</t>
  </si>
  <si>
    <t>Presentar el registro de control de cambios de actividades.</t>
  </si>
  <si>
    <t>Recolectar y presentar la información del control de cambios de actividades con sus justificaciones.</t>
  </si>
  <si>
    <t>"Herramienta de control de  actividades".</t>
  </si>
  <si>
    <t>En el seguimiento realizado por la OCI el 14/12/2022, se evidenció la identificación y justificación del cambio de actividades, además se verifica la consistencia entre la información de la herramienta, con la del acta 5.4.1-1.56/042 del 25/08/2022, se otorga un avance del 100%.</t>
  </si>
  <si>
    <t>La actividad presenta efectividad del 69%, por: 
1. Promedio eficacia y eficiencia 86%: Se cumplio la actividad fuera del tiempo programado
2. Gestión del 70%: Se evidenció la presentación del cambio de actividades con su justificación. 
3. Impacto del 50%: Queda pendiente verificar la permanencia de la mejora posterior a la vigencia 2022</t>
  </si>
  <si>
    <t>Los indicadores se enfocan exclusivamente en la medición presupuestal y en los mantenimientos correctivos, sin prever los necesarios para estimar el logro de resultados, el cumplimiento de productos, la eficiencia en la ejecución y el impacto respecto del Plan de Mantenimiento quinquenal.</t>
  </si>
  <si>
    <t>Plantear el Indicador de eficiencia del plan quinquenal</t>
  </si>
  <si>
    <t>Definir y analizar el indicador de eficiencia del plan quinquenal.</t>
  </si>
  <si>
    <t xml:space="preserve">Indicador </t>
  </si>
  <si>
    <t>Indicador aplicado</t>
  </si>
  <si>
    <t>El Área de Mantenimiento  mediante correo electrónico del 14/08/2023 remitió documentos para ser valorados en el seguimiento del segundo semestre del 2023, entre ellos:
1. Matriz en excel de ficha de indicadores 2023 
Con oficio 5.4.1-52.92/3383 del 23/11/2023 el Área de mantenimiento remitió:
1. FICHA DE INDICADOR EFICIENCIA EQUIPOS - QUINQUENIO 2018-2022
2. FICHA DE INDICADOR EFICIENCIA INFRAESTRUCTURA - QUINQUENIO 2018-2022
3. FICHA DE INDICADOR EFICIENCIA OBRAS - QUINQUENIO 2018-2022
4. H3 - 23112023 - INFORME DE GESTIÓN MANTENIMIENTO AÑO 2018-2022_CI 
5. SOPORTE EFICIENCIA - H5 - 14082023 - 2018- 2022 PROYECCION MANTENIMIENTO
6. SOPORTES DE DATOS IMPLEMENTACION DE INDICADORES 2022</t>
  </si>
  <si>
    <t>2023-2: Se verificó el diseño de indicadores para la medición de los resultados de la gestión del Área de Mantenimiento, encontrando que éstos cumplen con los elementos mínimos para su funcionalidad, y se observa la implementación de las fichas con la medición de los indicadores de eficiencia para equipos, infraestructura y obras, sin embargo, se evidencia que el análisis de resultados del indicador para mantenimiento de infraestructura de la ficha contenida en el informe de Gestión de mantenimiento infraestructura 2018-2022, no corresponde a los datos de la fórmula indicada en la misma. 
Con lo anterior, se otorga un avance del 95%, porcentaje restante sujeto a la presentación de soportes que evidencien la mejora en la implementación de la herramienta.</t>
  </si>
  <si>
    <t>La actividad presenta efectividad del 56%, por: 
1. Promedio eficacia y eficiencia 48%. La actividad se ejecutó con un 98%, sin cumplir con el término establecido.
2. Gestión del 70%: Se diseñaron algunos indicadores para la medición de la gestión 
3. Impacto del 50%: La implementación de los indicadores presenta algunos errores</t>
  </si>
  <si>
    <t>Pese a preverse en el procedimiento los ejercicios de auditoría, no se logra evidenciar su aplicación, en tanto no hay documentación física ni registros en el sistema EPLUX.</t>
  </si>
  <si>
    <t>Implementar  el formato "PE-GS-2.2.1-FOR-22 Acta General para Actividades Universitarias", para las actividades 2022 en adelante</t>
  </si>
  <si>
    <t>Implementar  el formato "PE-GS-2.2.1-FOR-22 Acta General para Actividades Universitarias" para seguimiento de las auditorias de control  de actividades de mantenimiento.</t>
  </si>
  <si>
    <t>Profesional Especializado de Mantenimiento DAS. Profesional Universitario</t>
  </si>
  <si>
    <t>Acta implementada</t>
  </si>
  <si>
    <t>En el seguimiento realizado por la OCI el 14/12/2022, se evidenció la aplicación de las actas generales, por lo que el avance pasó al 100%.</t>
  </si>
  <si>
    <t xml:space="preserve">La actividad presenta efectividad del 97%, por: 
1. Promedio eficacia y eficiencia 100%. la actividad se ejecutó dentro del término establecido.
2. Gestión del 100%: Se evidenció la aplicación de las actas generales para el seguimiento de actividades de mantenimiento. 
3. Impacto del 90%: Las actas generales del último semestre evidencian la implementación de la TRD.  </t>
  </si>
  <si>
    <t>Con la información suministrada y con base en los indicadores disponibles, no se logra estimar el grado de implementación integral del Plan de Mantenimiento.</t>
  </si>
  <si>
    <t>Integrar indicadores</t>
  </si>
  <si>
    <t>Analizar e integrar indicadores en un solo producto.</t>
  </si>
  <si>
    <t>Indicador</t>
  </si>
  <si>
    <t>El Área de Mantenimiento  mediante correo electrónico del 14/08/2023 remitió documentos para ser valorados en el seguimiento del segundo semestre del 2023, entre ellos:
1. Matriz en excel de ficha de indicadores 2023 
Con oficio 5.4.1-52.92/3383 del 23/11/2023 el Área de mantenimiento remitió:
1. INFORME DE GESTIÓN MANTENIMIENTO AÑO 2022 7</t>
  </si>
  <si>
    <t>2023-2: Se verificó el diseño de indicadores para la medición de los resultados de la gestión del Área de Mantenimiento, encontrando que éstos cumplen con los elementos mínimos para su funcionalidad, sin embargo, no se evidencia un indicador que defina el grado de implementación del plan de mantenimiento 2018-2022, por lo que se otorga un avance del 50%.</t>
  </si>
  <si>
    <t>La efectividad será valorada cuando se ejecute un avance superior al 90%.</t>
  </si>
  <si>
    <t>No se cuenta con una herramienta de monitoreo y supervisión que consolide la trazabilidad de la ejecución del Plan de Mantenimiento para cada vigencia.</t>
  </si>
  <si>
    <t>Ajustar "Herramienta de control de actividades".</t>
  </si>
  <si>
    <t>1. Identificar los campos requeridos para el ajuste de la herramienta. 
2. Implementar la Herramienta.</t>
  </si>
  <si>
    <t>Herramienta</t>
  </si>
  <si>
    <t xml:space="preserve">Herramienta implementada. </t>
  </si>
  <si>
    <t>Con oficio del 05 de julio de 2023 emitido desde el correo dadministrativa@unicauca.edu.co se remitió: 
Se anexa la matriz de seguimiento al plan Anual de mantenimiento a equipos e infraestructura con los campos dilgenciados</t>
  </si>
  <si>
    <t>Se verificó la actualización de la herramienta, con diligenciamiento completo.
Con lo anterior, pasa de un 80% a un 100% de avance</t>
  </si>
  <si>
    <t>La actividad presenta efectividad del 63%, por: 
1. Promedio eficacia y eficiencia 50%.
2. Gestión del 90%. se diligenciaron los campos, sin embargo, no se evidencia una socialzación respecto del seguimiento.
3. Impacto del 50%. No se evidencia la ejeucción para la vigencia 2023</t>
  </si>
  <si>
    <t>La evaluación automática de la satisfacción, no es referente para estimar la efectividad del servicio de mantenimiento, por lo que no podría constituir insumo para el mejoramiento del proceso.</t>
  </si>
  <si>
    <t>Implementar plan de socialización masiva articulada con Talento Humano para las dependencias universitarias.</t>
  </si>
  <si>
    <t>Socialización masiva articulada con Talento Humano para las dependencias universitarias.</t>
  </si>
  <si>
    <t>Cumplimiento del plan de socialización a las dependencias.</t>
  </si>
  <si>
    <t>1.Cronograma de capacitaciones
2. Registro de asistencia</t>
  </si>
  <si>
    <t>Con oficio del 05 de julio de 2023 emitido desde el correo dadministrativa@unicauca.edu.co se remitió: 
Cronograma de socialización uso ePLUX
Solicitud (5.4.1-92.8/3387 del 15/12/2023) de Artículación con la DGTH para capacitaciones en ePLUX
Actas de socialización VRI y Mantenimiento</t>
  </si>
  <si>
    <t>Se verifica implementación de las capacitaciones respecto del uso de ePLUX y crónograma a ejecutar en 2023.
Con lo anterior se concede un avance del 50% al 100%.</t>
  </si>
  <si>
    <t>La actividad presenta efectividad del 93%, por: 
1. Promedio eficacia y eficiencia 80%.
2. Gestión del 100%. 
3. Impacto del 100%.</t>
  </si>
  <si>
    <t>No se ha incluido el Manual de usuarios al sistema de Calidad de la Universidad, conforme a las directrices del procedimiento “Elaboración y control de documentos para la plataforma LVMEN” Código PE-GS-2.2.1-PR-1, que exige que los documentos de origen externo se registren acorde a las disposiciones para su uso.</t>
  </si>
  <si>
    <t>Codificar y Publicar Manual del Aplicativo en la plataforma Lumen según procedimiento PE-GS-2.2.1-PR-1.</t>
  </si>
  <si>
    <t xml:space="preserve">Registrar Manual ante calidad bajo el formato PE-GS-2.2.1-PR-1 </t>
  </si>
  <si>
    <t>Profesional Especializado de Mantenimiento DAS</t>
  </si>
  <si>
    <t xml:space="preserve"> Documento publicado</t>
  </si>
  <si>
    <t>Con oficio 5.4.1-52.92/3383 del 23/11/2023 el Área de mantenimiento remitió: 
1. Oficio de respuesta Sistema ePLUX UNICAUCA Manual de Usuario
2. solicitud publicacion - manual de usuario aplicativo de mantenimiento</t>
  </si>
  <si>
    <t xml:space="preserve">En el seguimiento realizado por la OCI el 14/12/2022, se evidenció que el manual se encuentra elaborado y está incluído dentro del plan quinquenal 2023-2027 que se va a publicar, por lo que se asigna un 50% de avance, el 50% restante se sujeta a la publicación, así como remitir la copia del contrato para revisar obligaciones del contratista. 
2023-2: Se evidenció que el manual se referencia dentro del plan quinquenal 2023-2027 publicado en LVMEN, sin embargo, no se encuentra publicado. 
Además, se observó oficio en el que la empresa GRANDTEK SAS (creadora) no dio el consentimiento para publicar el manual, por lo que la OCI determina la necesidad de reformular la acción y la actividad, teniendo en cuenta que los productos deben poder ser consultados por los usuarios del sistema Eplux, como pueden ser: vídeo, procedimiento, manual, guía, entre otros. </t>
  </si>
  <si>
    <t>No existen registros que justifiquen el comportamiento de la ejecución presupuestal respecto de la proyección</t>
  </si>
  <si>
    <t xml:space="preserve">Ajustar Herramienta de control de actividades. </t>
  </si>
  <si>
    <t>1. Identificar los campos requeridos para la herramienta. 
2. Implementar la Herramienta</t>
  </si>
  <si>
    <t>Se verificó la actualización de la herramienta, con diligenciamiento completo y socializaciones sobre los requerimientos 2023 hasta agosto.
Con lo anterior, pasa de un 85% a un 100% de avance</t>
  </si>
  <si>
    <t xml:space="preserve">La actividad presenta efectividad del 80%, por: 
1. Promedio eficacia y eficiencia 50%.
2. Gestión del 90%. se diligenciaron los campos.
3. Impacto del 100%. </t>
  </si>
  <si>
    <t>No se documentan las decisiones que conllevan a la priorización de las actividades de mantenimiento.</t>
  </si>
  <si>
    <t>1. Identificar los campos requeridos para la herramienta. 
2. Implementar la Herramienta.</t>
  </si>
  <si>
    <t>La denominación, objetivo y alcance no se diferencian entre los procedimientos que guían la operación del proceso.</t>
  </si>
  <si>
    <t>Actualizar Procedimientos</t>
  </si>
  <si>
    <t>Procedimientos</t>
  </si>
  <si>
    <t>Procedimientos actualizados</t>
  </si>
  <si>
    <t>Con oficio del 05 de julio de 2023 emitido desde el correo dadministrativa@unicauca.edu.co se remitió: 
el enlace donde se encuentran publicados los protocolos
http://www.unicauca.edu.co/prlvmen/subprocesos/gesti%C3%B3n-del-mantenimiento-de-bienes-muebles-inmuebles-y-equipos</t>
  </si>
  <si>
    <t>Se observó la actualizacion de los procedimientos y su publicación, por lo que se asigna del 90% al 100%.</t>
  </si>
  <si>
    <t>a actividad presenta efectividad del 60%, por: 
1. Promedio eficacia y eficiencia 800%
2. Gestión del 100%.
3. Impacto del 0%. 
Se actualizaron los procedimientos de que trata el hallazgo, pero no son referentes de operación.</t>
  </si>
  <si>
    <t>El alcance no desarrolla el objetivo ni delimita las actividades a ejecutar para cada procedimiento.</t>
  </si>
  <si>
    <t xml:space="preserve">Documento </t>
  </si>
  <si>
    <t>a actividad presenta efectividad del 60%, por: 
1. Promedio eficacia y eficiencia 80%
2. Gestión del 100%.
3. Impacto del 0%. 
Se actualizaron los procedimientos de que trata el hallazgo, pero no son referentes de operación.</t>
  </si>
  <si>
    <t>No se definen las actividades en tercera persona, siguiendo la secuencia cronológica y previendo las competencias para ejecutar. Vr.gr. Actividad "Crear contratos para mantenimiento externo preventivo” y control” software de Mantenimiento Eplux”</t>
  </si>
  <si>
    <t>No se asignan como responsables a cargos pertenecientes a la planta de personal. Vr. gr. Contratistas, monitores, administrativos.</t>
  </si>
  <si>
    <t>Presentan las mismas oportunidades de mejora de los procedimientos documentados y no publicados en el programa Lvmen.</t>
  </si>
  <si>
    <t>Los protocolos no se estructuran conforme al procedimiento “Elaboración y Control de Documentos para la Plataforma LVMEN” Código: PE-GS-2.2.1-PR-1.</t>
  </si>
  <si>
    <t>Actualizar protocolos</t>
  </si>
  <si>
    <t>Protocolos actualizados</t>
  </si>
  <si>
    <t>No se han definido protocolos especiales para el mantenimiento de vehículos, bicicletas e implementos de gimnasio.</t>
  </si>
  <si>
    <t>Actualizar protocolos internos</t>
  </si>
  <si>
    <t>Actualización de protocolos internos</t>
  </si>
  <si>
    <t>Protocolos</t>
  </si>
  <si>
    <t>No se aplican los mantenimientos preventivos a todo el universo de equipos.</t>
  </si>
  <si>
    <t>Actualizar cronograma</t>
  </si>
  <si>
    <t>Actualizar cronograma de actividades de mantenimiento</t>
  </si>
  <si>
    <t>Cronograma</t>
  </si>
  <si>
    <t>Cronograma de actividades de mantenimiento actualizado.</t>
  </si>
  <si>
    <t>En el seguimiento realizado por la OCI el 14/12/2022, se evidencia la elaboración de los cronogramas el plad de mantenimiento de las vigencias 2020, 2021 y 2022, y la publicación del cronograma 2022, por lo que se otorga un avance del 100%.</t>
  </si>
  <si>
    <t>"La actividad presenta efectividad del 97%, por: 
1. Promedio eficacia y eficiencia 100%.
2. Gestión del 100%. Se evidencia la elaboración y publicación de los cronogramas de actividades para la vigencia 2021 y 2022. 
3. Impacto del 90%. Se publicó el cronograma de actividades de la vigencia 2022, a la espera del cronograma de la vigencia 2023, de acuerdo con el nuevo plan de mantenimiento.</t>
  </si>
  <si>
    <t>Puntaje obtenido</t>
  </si>
  <si>
    <t xml:space="preserve">Vicerrectoría Administrativa - División de Gestión Financiera- Área de Aquisiciones e Inventarios </t>
  </si>
  <si>
    <t>Mabel Alexandra Urbano</t>
  </si>
  <si>
    <t xml:space="preserve"> EVALUACIÓN ANUAL DEL CONTROL INTERNO CONTABLE INFORMES 2.6-52.18/09 DEL 2019, 2.6-52.18/11 DEL 2020, 2.6-52.18/07 Y 2.6-52.18/08 DEL 2021</t>
  </si>
  <si>
    <t>23/08/2022</t>
  </si>
  <si>
    <t>El Plan se reformuló en agosto del 2021, debido a que corresponde a una evaluacion anual.</t>
  </si>
  <si>
    <t>Las políticas contables existentes aplicables al desarrollo del proceso contable están definidas de manera general que desfavorece la aplicación integral.</t>
  </si>
  <si>
    <t>No se han realizado las actualizaciones conforme a las modificaciones de la norma general aplicable a las entidades de gobierno, especificamente a las IES.</t>
  </si>
  <si>
    <t>Manual de Políticas contables actualizado</t>
  </si>
  <si>
    <t>Revisar y actualizar el Acuerdo Superior 012 de 2018 con la normatividad vigente de la Contaduría General de la Nación</t>
  </si>
  <si>
    <t>Acuerdo de políticas contables actualizado</t>
  </si>
  <si>
    <t>Profesional Especializado - Contador-Tesorero - Adquisiciones e Inventarios
Jefe Financiero y Admin - UniSalud
Técnico Admin - Vicerrectoría Administrativa
Profesional designado Talento Humano</t>
  </si>
  <si>
    <t>LINK:
http://www.unicauca.edu.co/versionP/documentos/acuerdos/acuerdo-superior-084-de-2021-actualiza-yo-se-establecen-las-pol%C3%ADticas-contables-de-la-universidad-de</t>
  </si>
  <si>
    <t xml:space="preserve">La División de Gestión Financiera con oficio 5.2-52.2/0068 del 13/06/2022 remitió respuesta de la aprobación del acuerdo 084 del 2021, de actualización a las políticas contables.
OCI: 
Se evidencia la publicación del Acuerdo 084 del 2021, actualización de políticas contables de la Universidad del Cauca, en el que se observan algunos ajustes, por lo que el avance pasa del 50% al 100%. </t>
  </si>
  <si>
    <t xml:space="preserve">La actividad presenta efectividad del 93%, por: 
1. Promedio eficacia y eficiencia 100%: La actividad se cumplió en 100%, dentro del tiempo programado. 
2. Gestión del 100%:  Las políticas contables se actualizaron conforme la normativa de la Contaduría General de la Nación- Resolución 533 del 2015. 
3. Impacto del 80%: Se están actualizando los procedimientos contables, de acuerdo con las políticas contables del Acuerdo 084 del 2021. </t>
  </si>
  <si>
    <t>No se detallaron algunas políticas contables por la complejidad del proceso</t>
  </si>
  <si>
    <t>Políticas Contables Opertivas</t>
  </si>
  <si>
    <t xml:space="preserve">Definir las políticas contables a través de conceptos que permitan su aplicación </t>
  </si>
  <si>
    <t>Políticas Contables  con términos aplicables en la operación</t>
  </si>
  <si>
    <t xml:space="preserve">Con oficio 5.2-52.2/011 del 26/12/2023 la División de Gestión Financiera remitió como evidencia el Oficio 5.2-52.2/0009 del 22 de diciembre de 2023. </t>
  </si>
  <si>
    <t>2023- 2: En el Oficio 5.2-52.2/0009 del 22 de diciembre de 2023 la División de Gestión Financiera refiere que las políticas Contables se desarrollan a través de Actos administrativos, procedimientos e instructivos, para lo que la OCI revisó algunos de estos y verificó su aplicación. 
Por lo anterior se otorga un avance del 100%, sin embargo, debido a que la evaluación de Control interno contable se realiza anualmente, la aplicación de las políticas continuará siendo objeto de verificación.</t>
  </si>
  <si>
    <t xml:space="preserve">La efectividad será medida cuando la actividad supere el 90% de avance. </t>
  </si>
  <si>
    <t>Los procedimientos existentes no reflejan los lineamientos de las políticas, son insuficientes y presentan debilidades para guiar la operación y la confrontación de información, análisis y depuración de cuentas que coadyuven al mejoramiento y sostenibilidad de la calidad de la información</t>
  </si>
  <si>
    <t>Al no tener algunas políticas contables detalladas, imposibilita la implementación de los procedimientos como control a la política contable.</t>
  </si>
  <si>
    <t>Procedimientos ajustados a las políticas contables actualizadas</t>
  </si>
  <si>
    <t>Actualizar e implementar los procedimientos y controles al cumplimiento de las Políticas Contables internas</t>
  </si>
  <si>
    <t>Procedimientos ajustados e implementados</t>
  </si>
  <si>
    <t>Profesional Especializado - Contador
Jefe Financiero y Administrativo - Unidad de Salud
Técnico Administrativo - Vicerrectoría Administrativa
Profesional Especializado - Área de Adquisiciones e Inventarios
Profesional Especializado - Tesorero
Profesional designado Talento Humano</t>
  </si>
  <si>
    <t xml:space="preserve">Con oficio 5.2-52.2/011 del 26/12/2023 la División de Gestión Financiera remitió los procedimientos ajustados y publicados, así: 
2.1.       PA-GA 5.2-PR-1 Conciliaciones Bancarias y Saldos de Tesorería y Contabilidad Versión 7 del 10-Nov-2023
2.2.       PA-GA-5.2-PR-6 Egresos Presupuestales Versión 7 del 30-Oct-2023
2.3.       PA-GA-5.2-PR-13 Reconocimiento, Registro y Control del Recaudo de la Estampilla Universidad del Cauca Versión 2 del 11-Oct-2023
2.4.       PA-GA 5.2-PR-12 - Preparación, aprobación, validación y publicación de Estados Financieros e informes financieros y contables Versión 5 del 20-Sep-2023 </t>
  </si>
  <si>
    <t>2023- 2: Se verificó la actualización e implementación de los procedimientos remitidos, por lo que el avance pasó del 90% al 100%. sin embargo, debido a que la evaluación de Control interno contable se realiza anualmente, la aplicación de las políticas continuará siendo objeto de verificación.</t>
  </si>
  <si>
    <t>La actividad presenta efectividad del 53%, por: 
1. Promedio eficacia y eficiencia 80%: La actividad alcanzó un 90% de avance, con incumplimiento del tiempo programado.
2. Gestión del 50%: Se observó que la División de Gestión Financiera se encuentra actualizando los procedimientos de acuerdo a los cambios de las políticas, además, están evaluando la pertinencia de elaborar una herramienta que contenga todos los procedimientos, para facilitar su aplicación y debidas actualizaciones. 
3. Impacto del 30%: La actualización de los procedimientos se realizó de manera parcial.</t>
  </si>
  <si>
    <t>Algunas normas internas están desactualizadas de las Políticas Contables y los conceptos normativos se conocen de manera parcial por sus ejecutores.</t>
  </si>
  <si>
    <t xml:space="preserve">El PM no la presenta </t>
  </si>
  <si>
    <t>Actualización de la norma interna</t>
  </si>
  <si>
    <t>Actualización del Acuerdo Superior 043 de 2002 sobre clasificación, administración y custodia de los bienes.</t>
  </si>
  <si>
    <t>Norma actualizada</t>
  </si>
  <si>
    <t>El Área de Adquisiciones e Inventarios con oficio 5.4.5-92/3201 del 14/11/2023 remitió las siguientes evidencias: 
1. Acta reunión clasificacion y administración firmada
2. Acta de reunión General Planes de mejoramiento 28 de septiembre firmada
3. Acta reunión socialización 26 de octubre de 2023 Acuerdo 043
4. Acta firmada reuniones acuerdo 043
5. Documento Derogación Acuerdo 043
6. Oficio vadm derogación Acuerdo Superior 043 de 2002
7. PROYECTO NUEVO ACUERDO- DEROGACIO 043 DE 2002- AREA DE ADQUISICIONES</t>
  </si>
  <si>
    <t xml:space="preserve"> 2023-2: De la revisión al proyecto del nuevo acuerdo que modifica el Acuerdo 043 del 2002, se concluye que éste tiene un avance del 80%, y en sesión del Comité de Sostenibilidad Contable del 15/12/2023, se dejó el compromiso de que la Oficina Jurídica y el Área de Adquisiciones se reúnan el 18/12/2023 para aclarar las observaciones de la Oficina Jurídica, y entregar el proyecto al Vicerrector Administrativo, quien se comprometió a hacer entrega de éste proyecto al Representante legal de la Institución, para que se programe la presentación al Consejo Superior para su aprobación. 
Al respecto, la OCI comunicó que incrementará el avance cuando se evidencie la radicación del proyecto del Acuerdo ante el Representante Legal. </t>
  </si>
  <si>
    <t>Sin evidenciarse técnicas o mecanismos que reflejen la circulación de la información hacia el área contable 
y para la verificación de la totalidad de los
registros contables.</t>
  </si>
  <si>
    <t>No se ha establecido un mecanismo para la circularización de la información contable.</t>
  </si>
  <si>
    <t>Instrumento para reflejar la  circulación de la información hacia el área contable</t>
  </si>
  <si>
    <t>Elaborar un instrumento que  refleje la circulación de la información hacia el área contable</t>
  </si>
  <si>
    <t>Instrumento elaborado</t>
  </si>
  <si>
    <t>Profesional Especializado - Contador -Tesorero -Adquisiciones e Inventarios
Jefe Financiero y Adm. - UniSalud
Técnico Admin. - Vicerrectoría Administrativa</t>
  </si>
  <si>
    <t>Matriz de Flujo de Información Financiera y Contable V1, del 02/05/2022.</t>
  </si>
  <si>
    <r>
      <t xml:space="preserve">La División de Gestión Financiera con oficio 5.2-52.2/0068 del 13/06/2022 Adjunta instrumento PA-GA-5-OD-20 Matriz de Flujo de Información Financiera y Contable V1, del 02/05/2022.
</t>
    </r>
    <r>
      <rPr>
        <b/>
        <sz val="11"/>
        <color rgb="FF000000"/>
        <rFont val="Arial"/>
        <family val="2"/>
      </rPr>
      <t xml:space="preserve">OCI: </t>
    </r>
    <r>
      <rPr>
        <sz val="11"/>
        <color rgb="FF000000"/>
        <rFont val="Arial"/>
        <family val="2"/>
      </rPr>
      <t xml:space="preserve">
En la página Web Institucional se evidencia la publicación de la matriz de flujo de información Financiera, en la que se integra la información de la Unidad 2, por lo que </t>
    </r>
    <r>
      <rPr>
        <b/>
        <sz val="11"/>
        <color rgb="FF000000"/>
        <rFont val="Arial"/>
        <family val="2"/>
      </rPr>
      <t xml:space="preserve">el avance pasa del 80% al 100%. </t>
    </r>
    <r>
      <rPr>
        <sz val="11"/>
        <color rgb="FF000000"/>
        <rFont val="Arial"/>
        <family val="2"/>
      </rPr>
      <t xml:space="preserve">
</t>
    </r>
  </si>
  <si>
    <t xml:space="preserve">La actividad presenta efectividad del 87%, por: 
1. Promedio eficacia y eficiencia 100%: La actividad se cumplió en 100%, dentro del tiempo programado. 
2. Gestión del 100%:  La matriz contiene la información contable que ingresa y sale de las diferentes dependencias de la Universidad del Cauca. 
3. Impacto del 60%: La matriz tiene versión 1 del 02/05/2022, sin embargo debe alimentarse constantemente. </t>
  </si>
  <si>
    <t xml:space="preserve">Se encuentran parcialmente identificadas las áreas proveedoras de información contable.
</t>
  </si>
  <si>
    <t>No se ha establecido un mecanismo para identificar las áreas proveedoras de información contable.</t>
  </si>
  <si>
    <t>Instrumento para identificar las áreas proveedoras de información contable.</t>
  </si>
  <si>
    <t>Elaborar un instrumento que Identifique las áreas proveedoras de información contable</t>
  </si>
  <si>
    <t>PA-GA-5-OD-20 Matriz de Flujo de Información Financiera y Contable V1, del 02/05/2022.</t>
  </si>
  <si>
    <r>
      <t xml:space="preserve">La División de Gestión Financiera con oficio 5.2-52.2/0068 del 13/06/2022 Adjunta instrumento PA-GA-5-OD-20 Matriz de Flujo de Información Financiera y Contable V1, del 02/05/2022.
</t>
    </r>
    <r>
      <rPr>
        <b/>
        <sz val="11"/>
        <color rgb="FF000000"/>
        <rFont val="Arial"/>
        <family val="2"/>
      </rPr>
      <t xml:space="preserve">OCI: </t>
    </r>
    <r>
      <rPr>
        <sz val="11"/>
        <color rgb="FF000000"/>
        <rFont val="Arial"/>
        <family val="2"/>
      </rPr>
      <t xml:space="preserve">
En la página Web Institucional se evidencia la publicación de la matriz de flujo de información Financiera, en la que se integra la información de la Unidad 2, por lo que </t>
    </r>
    <r>
      <rPr>
        <b/>
        <sz val="11"/>
        <color rgb="FF000000"/>
        <rFont val="Arial"/>
        <family val="2"/>
      </rPr>
      <t xml:space="preserve">el avance pasa del 80% al 100%. </t>
    </r>
  </si>
  <si>
    <t>Sin establecer el mecanismo para el cálculo adecuado de los valores que corresponden al agotamiento y deterioro.</t>
  </si>
  <si>
    <t xml:space="preserve">Los procedimientos de los procesos y subprocesos que deben implementar deterioro no estan ajustados dada la generalidad de la politica. </t>
  </si>
  <si>
    <t xml:space="preserve">Instrumento para cálculo de agotamiento y deterioro </t>
  </si>
  <si>
    <t>Elaboración de un Instrumento para determinar los valores de agotamiento y deterioro</t>
  </si>
  <si>
    <t>Profesional Especializado - Contador- Tesorero -Adquisiciones e Inventarios
Jefe Financiero y Admin. - Unisalud
Técnico Admin. - Vicerrectoría Administrativa
Profesional designado Talento Humano</t>
  </si>
  <si>
    <t xml:space="preserve">*PA-GA-5.4.5-IN-2 Instructivo para cálculo de Deterioro de Activos no Generadores de Efectivo V1.pdf
*PA-GA-5-IN-5 Instructivo para cálculo de Deterioro de Valor de Cuentas por Cobrar V1.
*Acuerdo Superior 084 de 2021 Políticas Contables de la Universidad del Cauca 
</t>
  </si>
  <si>
    <r>
      <t xml:space="preserve">La División de Gestión Financiera con oficio 5.2-52.2/0067 del 09/06/2022, remitió los link que evidencian la publicación de las siguientes herramientas documentadas: 
*PA-GA-5.4.5-IN-2 Instructivo para cálculo de Deterioro de Activos no Generadores de Efectivo V1.pdf
*PA-GA-5-IN-5 Instructivo para cálculo de Deterioro de Valor de Cuentas por Cobrar V1.
*Acuerdo Superior 084 de 2021 Actualiza y/o se establecen las Políticas Contables de la Universidad del Cauca y se deroga el Acuerdo 012 de 2018
</t>
    </r>
    <r>
      <rPr>
        <b/>
        <sz val="11"/>
        <color rgb="FF000000"/>
        <rFont val="Arial"/>
        <family val="2"/>
      </rPr>
      <t xml:space="preserve">Observación OCI: 
</t>
    </r>
    <r>
      <rPr>
        <sz val="11"/>
        <color rgb="FF000000"/>
        <rFont val="Arial"/>
        <family val="2"/>
      </rPr>
      <t xml:space="preserve">
Se verificó que las herramientas elaboradas para el cálculo del deterioro de activos no gereradores de efectivo y del valor de cuentas por cobrar, se formalizaron y publicaron en la página Web Institucional- Programa LVMEN, y el  Acuerdo Superior 084 de políticas contables, en la página web Institucional- Documentos Públicos, Acuerdos. 
Por lo anterior, el</t>
    </r>
    <r>
      <rPr>
        <b/>
        <sz val="11"/>
        <color rgb="FF000000"/>
        <rFont val="Arial"/>
        <family val="2"/>
      </rPr>
      <t xml:space="preserve"> avance pasa del 80% al 100%. </t>
    </r>
  </si>
  <si>
    <t xml:space="preserve">La actividad presenta efectividad del 60%, por: 
1. Promedio eficacia y eficiencia: La actividad se cumplió en 100% en el tiempo programado.
2. Gestión del 80%: Se elaboraro las herramientas para el cálculo del deterioro, sin embargo, no fue posible comprender el instructivo para el cálculo del deterioro de cuentas por cobrar, para lo que se solicitó su ajuste. 
3. Impacto del 0%: En el seguimiento a 30/12/2022 la OCI solicitó que se realice el ajuste de acuerdo al procedimiento para elaboración y control de documentos Institucionales, sin evidencia del ajuste. </t>
  </si>
  <si>
    <t>La información financiera se presenta en estructuras técnicas que dificultan la comprensión de todos los usuarios, se acompañan los indicadores mínimos para interpretar y analizar los resultados económicos como insumo para la toma de decisiones.</t>
  </si>
  <si>
    <t xml:space="preserve">La  cantidad de informacion y operaciones reflejadas en la estructura, nombres y codificacion, no se interpreta de forma integral por todos los usuarios de la informacion. </t>
  </si>
  <si>
    <t xml:space="preserve">Instrumento ejecutivo para la presentacion financiera anual </t>
  </si>
  <si>
    <t>Crear un instrumento   ejecutivo que permita  presentar de la Información Financiera,  comprensible para la toma de decisiones.</t>
  </si>
  <si>
    <t xml:space="preserve">Instrumento aprobado </t>
  </si>
  <si>
    <t>Profesional Especializado - Contador
Jefe Financiero y Administrativo</t>
  </si>
  <si>
    <t>Con Oficio 5.2-52.2/011 del 26/12/2023, la División de Gestión Financiero remitió: 
1. Capacitación herramientas presentación informes Sector Público.
2. Link y horario - Herramientas para presentación de informes en el sector público.
3. Material Capacitación Herramientas presentación de informes en el sector público.</t>
  </si>
  <si>
    <t xml:space="preserve">2023-2: Los archivos enviados por la División de Gestión Financiera evidencian la capacitación sobre la presentación de informes, sin embargo, no se observa el informe que refiere la actividad, por lo que ésta permanece con 0% de avance. </t>
  </si>
  <si>
    <t>Actividad no cumple con los requisitos mínimos para evaluar efectividad.</t>
  </si>
  <si>
    <t>No se evidencia la administración de los riesgos contables</t>
  </si>
  <si>
    <t>No se establecen de manera integral los riesgos, por lo tanto no se le da el alcance para que cada dependencia los mitigue.</t>
  </si>
  <si>
    <t>Matriz de riesgos contable</t>
  </si>
  <si>
    <t>Identificar los riesgos de indole contable</t>
  </si>
  <si>
    <t>Riesgos contables identificados</t>
  </si>
  <si>
    <t>Matriz de Riesgos Institucionales.</t>
  </si>
  <si>
    <t xml:space="preserve">En la reunión de seguimiento realizada el 13/12/2022 en las instalaciones de la División de Gestión Financiera, se evidenció que la matriz de Riesgos Institucionales, contempla los riesgos contables, por lo que el avance pasó del 70% al 100%. </t>
  </si>
  <si>
    <t xml:space="preserve">La actividad presenta efectividad del 76%, por: 
1. Promedio eficacia y eficiencia: La actividad se cumplió en 100%, fuera del tiempo programado.
2. Gestión del 90%: Se evidenció la identificación e inclusión de los riesgos contables dentro de la matriz de riesgos Institucional.
3. Impacto del 70%: Se presentó evidencias del seguimiento a algunos de los controles establecidos para los riesgos contables, se encuentran trabajando en los demás. Ej: la Resolución de Legalización de avances. </t>
  </si>
  <si>
    <t>No se tienen debidamente identificados los productos del proceso contable que deben suministrarse a las demás áreas de la entidad y a los usuarios externos.</t>
  </si>
  <si>
    <t xml:space="preserve">El proceso de Gestion Administrativa que contiene el subproceso gestión financiera no identifica claramente los productos del proceso contable  </t>
  </si>
  <si>
    <t>Ajustar la caracterización del proceso Gestión Admtiva, identificando claramente la entrada y salida del proceso contable.</t>
  </si>
  <si>
    <t>Realizar el ajuste a la caracterización del proceso Gestión Administrativa, identificando claramente los insumos de entrada y productos, especialmente los contables</t>
  </si>
  <si>
    <t xml:space="preserve">Caracterización ajustada </t>
  </si>
  <si>
    <t>No se evalúa la efectividad debido a que éstos hallazgos se cerraron en seguimientos anteriores al inicio de la valoración de efectividad por la OCI.</t>
  </si>
  <si>
    <t>El proceso contable  no opera en un ambiente de sistema  integrado de información y no  funciona adecuadamente.</t>
  </si>
  <si>
    <t>El proceso contable no opera con visión sistemica integral , por cuanto los sistemas SRF-SRH y Finanzas no operan totalmente integrados.</t>
  </si>
  <si>
    <t>Integrar los sistemas SRF-SRH Y finanzas Plus.</t>
  </si>
  <si>
    <t>Integrar  el sistema SRF con el sistema Finanzas Plus</t>
  </si>
  <si>
    <t>Sistemas Integrados</t>
  </si>
  <si>
    <t>Sin evidencia de la toma de inventario físico unidad 2 - Unidad de Salud</t>
  </si>
  <si>
    <t>La Unidad no cuenta con un software de inventarios</t>
  </si>
  <si>
    <t>Toma de inventarios de bienes y de medicamanetos</t>
  </si>
  <si>
    <t>Registro de inventarios de bienes y de medicamentos Unidad de Salud</t>
  </si>
  <si>
    <t>Registro de inventarios</t>
  </si>
  <si>
    <t xml:space="preserve">
Jefe Financiero y Administrativo
</t>
  </si>
  <si>
    <t>1.contrato de Integración software de Inventario Farmacia 10.2.31.5/082. 
2. Informes de capacitación y soporte técnico. 
3. Acta de reunión con proveedores
4. Registro Inventario de Farmacia SEP-30-01-OCT 2021-final
5. Acta Conteo Físico de los medicamentos que hacen parte del inventario de farmacia.</t>
  </si>
  <si>
    <r>
      <t xml:space="preserve">Mediante correo electrónico del día 26/01/2022, la Unidad de Salud remitió la evidencia relacionada con la toma del inventario físico de la Unidad. 
Observación OCI: 
Se valida la evidencia que da cumplimiento a la Unidad de medida del Registro de Inventario de la Unidad 2. </t>
    </r>
    <r>
      <rPr>
        <b/>
        <sz val="11"/>
        <color rgb="FF000000"/>
        <rFont val="Arial"/>
        <family val="2"/>
      </rPr>
      <t>Por lo que se asigna un avance del 100%.</t>
    </r>
  </si>
  <si>
    <t xml:space="preserve">La actividad presenta efectividad del 70%, por: 
1. Promedio eficacia y eficiencia: La actividad se cumplió en 100%, en el tiempo programado.
2. Gestión del 50%: Se realizó la toma del inventario físico de farmacia en la vigencia 2023, sin evidenciar la toma del inventario en la vigencia 2022.
3. Impacto del 60%: se evidenció la toma del inventario de los medicamentos de la Unidad 2 en la vigencia 2023, el registro del faltante encontrado, y el registro en el sistema financiero, evidenciado en el balance de prueba. </t>
  </si>
  <si>
    <t>Sin evidencia de la toma de inventario físico unidad 1 - Gestión General</t>
  </si>
  <si>
    <t xml:space="preserve">Realizar la verificación de los bienes institucionales </t>
  </si>
  <si>
    <t>Realizar la toma física del inventario, mediante el proceso de marcación con tecnología vigente</t>
  </si>
  <si>
    <t>lista de bienes identificados</t>
  </si>
  <si>
    <t>Profesional Especializado  Área de Adquisiciones e Inventarios</t>
  </si>
  <si>
    <t>El Área de Adquisiciones e Inventarios con oficio 5.4.5-92/3385 del 23/11/2023 remitió las siguientes evidencias: 
1. Informe gestión de inventarios.
2. Acta Inventario Facultad de Artes.
3. Acta inventario almacen general
4. Acta de entrega aplicativo de Control de Recursos Físicos
5. Correo de Universidad del Cauca - CREACION USUARIO SRF - DIVISION DE LA GESTION DE LA CULTURA
6. Entrada SRF bienes Históricos y Culturales
7. Salida SRF bienes Históricos y Culturales</t>
  </si>
  <si>
    <t xml:space="preserve">2023: La OCI evidencia las gestiones realizadas por el Área de adquisiciones e inventarios para la toma del inventario general de la Universidad del Cauca, entre lo que se observó: 
-La marcación de bienes muebles con tecnología vigente, de acuerdo con el proyecto del plan de desarrollo 2018-2022. 
-El avance en la verificación y registro de los bienes muebles a cargo de los servidores públicos. 
-la asignación de un estudiante en modalidad de pasantía, para el desarrollo de un aplicativo que permita la actualización del inventario por parte de los servidores que tengan bienes a su cargo. 
- Gestiones realizadas para la identificación y registro de los bienes históricos y culturales.
Pese a las gestiones realizadas por el área de adquisiciones e inventario, el avance pasa del 70% al 80%, el 20% restante se sujeta a la finalización en la toma del inventario general, y su registro. 
2023-2: Se evidencia avances respecto de la toma de inventario físico, la creación de un aplicativo que permite el control de los mismos, y las gestiones realizadas por el Área de Adquisiciones e Inventarios, sin embargo, aún no se evidencia la toma del inventario en su totalidad, por lo que el avance permanece en 80%. </t>
  </si>
  <si>
    <t>Vicerrectoría Administrativa - División de Gestión Financiera</t>
  </si>
  <si>
    <t>24/08/2021</t>
  </si>
  <si>
    <t>EVALUACIÓN AL PROCEDIMIENTO DE MATRÍCULA FINANCIERA PROGRAMAS DE PREGRADO INFORME 2.6-52.18/23 de 2020</t>
  </si>
  <si>
    <t>28/02/2022</t>
  </si>
  <si>
    <t>Debilidades en la documentación de los procedimientos debido a: 
 a) El objetivo no es el eje direccionador, con impacto en  el alcance y la definición de actividades</t>
  </si>
  <si>
    <t>Sin actualización, las últimas actualizaciones de los procedimientos según el registro de control de documentos datan del 2017.</t>
  </si>
  <si>
    <t>Reformular los lineamientos existentes con el proceso de matrículas financieras con el ciclo PHVA</t>
  </si>
  <si>
    <t>Ajustar y actualizar el procedimiento de   Financiación de derechos de matrícula y complementarios.</t>
  </si>
  <si>
    <t>Procedimiento actualizado y formalizado</t>
  </si>
  <si>
    <t xml:space="preserve">Tecnico Administrativo profesional universitario Vicerrectoria Administrativa </t>
  </si>
  <si>
    <t>Procedimiento actualizado y publicado</t>
  </si>
  <si>
    <t>30/06/2023</t>
  </si>
  <si>
    <t>Con oficio 5-84/0182 del 21/04/2023, la Vicerrectoría Administrativa remitió: 
-Proyecto procedimiento Financiación de Derechos de Matrícula y Complementarios, V5 del 13/03/2023 .
-Instructivo para Financiación de Matrícula Financiera Estudiantes
Regulares de Pregrado y Posgrado V3 del 16/01/2023</t>
  </si>
  <si>
    <t xml:space="preserve">2023-1: Se verificó el ajuste y publicación del procedimiento Financiación de Derechos de Matrícula y Complementarios en el programa LVMEN del portal Web Institucional, así como del instructivo, por lo que se da cumplimiento al 100% de la actividad planteada. </t>
  </si>
  <si>
    <t>La actividad presenta efectividad del 77%, por: 
1. Promedio eficacia y eficiencia 50%: La actividad alcanzó el 100% de avance, sin embargo, incumplió con el tiempo de finalización programado.
2. Gestión del 100%:  Se actualizó el procedimiento en cuanto a objetivo, alcance, actividades, controles y responsables, y se publicó en LVMEN con fecha 13/03/2023. 
3. Impacto del 80%: Recientemente se evidenciaron las mejoras sugeridas por la OCI.</t>
  </si>
  <si>
    <t>Ajustar y actualizar el procedimiento de  Liquidación de matrícula Financiera.</t>
  </si>
  <si>
    <t>Profesional Especializado -DARCA</t>
  </si>
  <si>
    <t>29/12/2023</t>
  </si>
  <si>
    <t>Con oficio 4.2-52.5/530 del 7/07/2023, la División de Admisiones, Registro y Control Académico remitió el procedimiento de Aplicación de Descuentos de Matrícula
Financiera para Admitidos y Estudiantes Regulares PA-GA-4.2-PR-13, publicado en LVMEN V1 del 27-06-2023
Sin evidencia para el seguimiento 2023-II</t>
  </si>
  <si>
    <t xml:space="preserve">2023- 1: El procedimiento contiene algunos criterios (Descuentos) para la liquidación de matrícula financiera, sin embargo, se hace necesario la consolidación de los demás criterios.
Con el procedimiento presentado se otorga un avance del 40%. 
2023-2: DARCA no remitió evidencias de avance. </t>
  </si>
  <si>
    <t>La actividad no cuenta con los requisitos mínimos para medir la efectividad.</t>
  </si>
  <si>
    <t>b) Existe segmentación de los procedimientos</t>
  </si>
  <si>
    <t xml:space="preserve">Ajustar y actualizar el procedimiento: condonación intereses en mora por financiación de matrícula y complementarios </t>
  </si>
  <si>
    <t>Tecnico Administrativo profesional universitario Vicerrectoria Administrativa 
Profesional Especializado- División Financiera.
Profesional Especializado -DARCA</t>
  </si>
  <si>
    <t xml:space="preserve">Procedimiento PA-GA-5-PR-10 V4 del 27/05/2022- Condonación de Intereses para Estudiantes en mora por financiación de matrícula y complementarios. </t>
  </si>
  <si>
    <t>Con oficio 5-71.7/693 del 13/06/2022, la Vicerrectoría Administrativa remite el Procedimiento PA-GA-5-PR-10 Condonación de Intereses..., V4 del 27/05/2022, evidenciando su publicación en la página Web Institucional- programa LVMEN.</t>
  </si>
  <si>
    <t xml:space="preserve">La actividad presenta efectividad del 73%, por: 
1. Promedio eficacia y eficiencia: La actividad se cumplió en 100%, fuera del tiempo programado.
2. Gestión del 80%: El procedmiento se actualizó y se encuentra publicado en LVMEN, con versión 5 del 21/11/2022.
3. Impacto del 70%: Se evidencian algunos ajustes de acuerdo a lo sugerido por la OCI, sin embargo, se quedan pendientes algunas mejoras, ejemplo: 
Algunos responsables no pertenecen a la Planta de personal, incumpliendo lo estipulado en el procedimiento para elaboración y control de documentos, entre otros. </t>
  </si>
  <si>
    <t>c) Los marcos legales de los procedimientos no soportan el quehacer de la operación</t>
  </si>
  <si>
    <t xml:space="preserve">Ajustar y actualizar el procedimiento:  egresos por devoluciones, descuentos y recaudos. </t>
  </si>
  <si>
    <t>30/06/2022</t>
  </si>
  <si>
    <t>Procedimiento PA-GA-5.2-PR-5 (Egresos por Devoluciones y Descuentos) versión 5 del  10/06/2022.</t>
  </si>
  <si>
    <t>Mediante oficio 5.2-52.2/067 del 13/06/2022, la División de Gestión Financiera remitió procedimiento PA-GA-5.2-PR-5 Egresos por Devoluciones y Descuentos, versión 5 del 10/06/2022, evidenciando su publicación en la página Web Institucional- programa LVMEN.</t>
  </si>
  <si>
    <t>La actividad presenta efectividad del 57%, por: 
1. Promedio eficacia y eficiencia 50%: La actividad se cumplió en 100%, fuera del tiempo programado.
2. Gestión del 70%: Se actualizó el procedimiento con versión 5 del 10/06/2022, sin embargo, requiere algunos ajustes. 
Impacto del 40%: El procedimiento  PA-GA-5.2-PR-5 no se ajusta a los criterios establecidos en el Procedimiento PE-GS-2.2.1-PR-1- Elaboración y control de documentos, en cuanto a la definición del objetivo, alcance y actividades y controles, así: 
1. El alcance no se relaciona con las actividades del planear. 
2. El punto de control no guarda relación con la actividad, entre otras.</t>
  </si>
  <si>
    <t>d) Los procedimientos existentes relacionados con el proceso de matrículas financieras no cumple con el ciclo PHVA</t>
  </si>
  <si>
    <t>EVALUACIÓN AL PROCEDIMIENTO DE RECONOCIMIENTO Y
 LEGALIZACIÓN DE AVANCES INFORME 2.6-52.18/07 del 2020</t>
  </si>
  <si>
    <t>30/03/2022</t>
  </si>
  <si>
    <t xml:space="preserve">El Plan se reformuló en el 2021, ya que el suscrito no tenía previstas acciones de mejora. </t>
  </si>
  <si>
    <t>El estatuto financiero y presupuestal Acuerdo 051 de 2007 Art. 75 hay incumplimento al autorizarse avances para gastos no justificados o sin motivarse el carácter de urgencia, como tambien las legalizaciones se realizan por fuera del término fijado.</t>
  </si>
  <si>
    <t>Desactualización de la reglamentación que hace referencia al otorgamiento y legalización de los avances</t>
  </si>
  <si>
    <t>Modificación y ajuste de la Resolución 726 de 2013</t>
  </si>
  <si>
    <t>Revisión y actualización de la Resolución 726 de 2013 por el cual se reglamenta el procedimiento para el otorgamiento y legalización de avances concedidos a los funcionarios de la Universidad del Cauca</t>
  </si>
  <si>
    <t>Resolución actualizada</t>
  </si>
  <si>
    <t>Vicerrector Administrativo</t>
  </si>
  <si>
    <t>La Vicerrectoría Administrativa con oficio 5-71.7/663 del 24/11/2023 remitió: 
1. Proyecto de resolucion de avances
2. Acta de reunión del 17 de noviembre de 2023
3. Acta de reunión del 22 de noviembre de 2023</t>
  </si>
  <si>
    <t xml:space="preserve">2023-2: Se evidencian los registros de las reuniones entre las Vicerrectorías Administrativa y de investigaciones, y la División de Gestión Financiera, para tratar el tema del ajuste de la Resolución R 726 del 2013, y el proyecto de Resolución. 
El avance permanece en 85% hasta que se presente la Resolución ajustada y publicada. </t>
  </si>
  <si>
    <t>La Resolución 726 de 2013 que reglamenta el procedimiento para el otorgamiento y legalización de avances se aplica parcialmente respecto de las exigencias de la aprobación, ejecución y legalización del gasto; entre otros porque el formato para la solicitud de avance PA-GA-5-FOR 23, actualizado el 25 de septiembre de 2019 no atempera su estructura a las exigencias del trámite de aprobación del gasto.</t>
  </si>
  <si>
    <t>Modificación y ajuste del Formato PA-GA-5-FOR 23 con el fin de aplicar las exigencias de la aprobación, ejecución y legalización del gasto.</t>
  </si>
  <si>
    <t>Modificación y ajuste Formato PA-GA-5-FOR 23.</t>
  </si>
  <si>
    <t>Formato actualizado</t>
  </si>
  <si>
    <t>La Vicerrectoría Administrativa con oficio 5-71.7/663 del 24/11/2023 remitió la matriz de avances.</t>
  </si>
  <si>
    <t xml:space="preserve">2023-2: En la matriz de reporte de información se informó que la formalización del Formato se sujeta a la aprobación de la modificación de la Resolución R- 726 de 2013. 
Por lo anterior, el avance se mantiene en 90%. </t>
  </si>
  <si>
    <t>La actividad presenta efectividad del 66%, por: 
1. Promedio eficacia y eficiencia 74%: La actividad alcanzó el 90% de avance, sin embargo, incumplió con el tiempo de finalización programado.
2. Gestión del 80%:  El Formato fue ajustado,  sin embargo,  la VADM informa que su publicación queda "sujeta a la aprobación la versión final de la Resolución 726 del 2013".
3. Impacto del 60%: Pendiente la publicación del formato.</t>
  </si>
  <si>
    <t xml:space="preserve">El procedimiento “Legalización de Comisión y Avance” PA-GA-5.2-PR-7 V:5 del 2016 presenta debilidades en la documentación; por cuanto no integra el ciclo completo para el trámite, faltan actividades, no prevé controles necesarios y efectivos, el responsable que se designa ejerce una función de revisión de comprobantes y realizar los registros. Del análisis del procedimiento, puede concluirse que la revisión de los soportes no se realiza sobre los criterios que los reglamentan, los de austeridad </t>
  </si>
  <si>
    <t>Desactualización de la normatividad y de los procedimientos</t>
  </si>
  <si>
    <t>Actualización y mejoramiento del procedimiento  PA-GA-5.2-PR-7 Legalización de Comisión y Avance, con el fin de integrar el ciclo completo del tramite de avances y prever los controles  efectivos en la revisión de los comprobantes que soportan el gasto.</t>
  </si>
  <si>
    <r>
      <t xml:space="preserve">Revisión y actualización del procedimiento PA-GA-5.2-PR-7 </t>
    </r>
    <r>
      <rPr>
        <i/>
        <sz val="11"/>
        <color theme="1"/>
        <rFont val="Arial"/>
        <family val="2"/>
      </rPr>
      <t>Legalización de Comisión y Avance</t>
    </r>
  </si>
  <si>
    <t xml:space="preserve">Profesional especializado Divión Gestión Financiera </t>
  </si>
  <si>
    <t xml:space="preserve">2023-2: División de Gestión Financiera no remitió avances. </t>
  </si>
  <si>
    <t xml:space="preserve">Se acordó que la División de Gestión Financiera realizará la actualización del procedimiento, el avance se mantiene en 50%, sujeto a la verificación del ajuste y publicación en LVMEN.  
2023: Sin evidencia de la realización de actividades para la mejora del hallazgo, por lo que el avance se mantiene en 50%.
2023-2: No se allegó información de la División de Gestión Financiera. </t>
  </si>
  <si>
    <t xml:space="preserve">La actividad registra avance del 50% si condiciones para valorar su efectividad, sin embargo, la OCI con base en las evidencias determina:
Las modificaciones subsanan  parcialmente las debilidades determinadas en la evaluación, debido a:
 - Se mantiene la debilidad en el control a la extemporanidad  de la legalización y a la permanencia de los recursos en el funcionario titular del avance, por tiempos superiores a los autorizados.
 - Sin establecer los responsables de aplicar las directrices sobre la extemporanidad  de la legalización y a la permanencia de los recursos, con base en la  Resolución 726/2013. 
 - Sin aplicar controles a la legalización del avance por el beneficiario titular del avance.   </t>
  </si>
  <si>
    <t>El procedimiento “autorización y aprobación de los Avances y procedimientos” PA-GA-5-PR-7 V:3 del 2015 presenta debilidades en la documentación.</t>
  </si>
  <si>
    <r>
      <t>Actualización y mejoramiento del procedimiento PA-GA-5-PR-7</t>
    </r>
    <r>
      <rPr>
        <i/>
        <sz val="11"/>
        <color theme="1"/>
        <rFont val="Arial"/>
        <family val="2"/>
      </rPr>
      <t xml:space="preserve"> autorización y aprobación de los avances y procedimiento, </t>
    </r>
    <r>
      <rPr>
        <sz val="11"/>
        <color theme="1"/>
        <rFont val="Arial"/>
        <family val="2"/>
      </rPr>
      <t>con el fin de integrar el ciclo completo del tramite de avances y prever los controles  efectivos en la revisión de los comprobantes que soportan el gasto.</t>
    </r>
  </si>
  <si>
    <r>
      <t>Revisión y actualización del procedimiento PA-GA-5-PR-7</t>
    </r>
    <r>
      <rPr>
        <i/>
        <sz val="11"/>
        <color theme="1"/>
        <rFont val="Arial"/>
        <family val="2"/>
      </rPr>
      <t xml:space="preserve">  autorización y aprobación de los avances y procedimientos</t>
    </r>
  </si>
  <si>
    <t xml:space="preserve">2023-2: En la matriz de reporte de información se informó que el ajuste y formalización se sujetan a la aprobación de la modificación de la Resolución R- 726 de 2013, por lo que el avance se mantiene en 70%. </t>
  </si>
  <si>
    <t xml:space="preserve">La actividad registra avance del 70%  si condiciones para valorar su efectividad, sin embargo, la OCI con base en las evidencias determina que aún se requiere ajustar algunas actividades y controles, en lo referente a:
1. Se deben definir todas las actividades necesarias, que sean consecuentes y que articulen a todos los responsables que intervienen. 
2. Los puntos de control deben evidencir los resultados de la aplicación de las actividades.
</t>
  </si>
  <si>
    <t>Reiterados casos de extemporaneidad en la legalización de los avances</t>
  </si>
  <si>
    <t xml:space="preserve"> Faltan criterios en los procedimientos y aplicación parcial de los controles</t>
  </si>
  <si>
    <t>Diseño y aplicación de estrategias a fin de atender la extemporaneidad en la legalzación de avances.</t>
  </si>
  <si>
    <t xml:space="preserve">Aplicación de estrategias:
Entrega de volante informativo donde se dan a conocer los plazos establecidos para la legalización, se entrega junto con el cheque. 
Notificación de la extemporaneidad en la legalización mediante oficio enviado al correo personal del responsable y al correo de la dependencia en la cual labora. </t>
  </si>
  <si>
    <t>Estrategias definidas</t>
  </si>
  <si>
    <t>Oficios de entrega del volante informativo y evidencia de retención de salarios de la vigencia 2022.</t>
  </si>
  <si>
    <t>Mediante oficio 5.2-52.2/067 del 13/06/2022, la División de Gestión Financiera remitió  Oficios de notificación de retención de salarios de los meses de marzo y abril de 2022.
La OCI realizó una verificación a través del Sistema Finanzas Plus a los terceros que la División de Gestión Financiera retuvo el salario, verificando que los avances ya se encuentran legalizados, sin embargo, ésta se hizo efectiva después de la retención de salario.
OCI: Se define y aplica la estrategia propuesta para atender la extemporaneidad en la legalización.</t>
  </si>
  <si>
    <t>La actividad presenta efectividad del 57%, por: 
1. Promedio eficacia y eficiencia 50%: La actividad se cumplió en 100%, pero no se cumplió dentro del tiempo programado.
2. Gestión del 70%: si bien el oficio de notificación de extemporaneidad remitido por la División de Gestión Financiera a los beneficiarios de los avances, es parcialmente efectivo para la legalización, la retención de nómina cuenta con mayor efectividad, ya que se evidencia que los terceros realizaron la legalización del avance en fechas posteriores a la retención, pero la estrategia no se encuentra documentada. 
3. Impacto del 50%: Se actualizó el instructivo para legalización de avances, con el que se observa mayor efectividad.</t>
  </si>
  <si>
    <t>Debilidad en la idoneidad de los soportes de legalizacion del gasto</t>
  </si>
  <si>
    <t xml:space="preserve"> Sin restricciones en monto y criterios para su utilización</t>
  </si>
  <si>
    <r>
      <t xml:space="preserve">Revisión y actualización del formato PA-GA-5.2-FOR-5 </t>
    </r>
    <r>
      <rPr>
        <i/>
        <sz val="11"/>
        <color theme="1"/>
        <rFont val="Arial"/>
        <family val="2"/>
      </rPr>
      <t>Comprobante de pago</t>
    </r>
    <r>
      <rPr>
        <sz val="11"/>
        <color theme="1"/>
        <rFont val="Arial"/>
        <family val="2"/>
      </rPr>
      <t xml:space="preserve"> y establecer los criterios de su utilización a fin de que los documentos anexos a este, sean soporte suficiente y necesario para su legalización.</t>
    </r>
  </si>
  <si>
    <t>Revisión y actualización del formato PA-GA-5.2-FOR-5 Comprobante de pago, a fin de establecer controles para la utilización.</t>
  </si>
  <si>
    <t>Formato PA-GA-5.2-FOR-5 Comprobante de pago, Versión 2 del 18-05-2021, publicado en LVMEN.</t>
  </si>
  <si>
    <t>Mediante oficio 5.2-52.2/042 del 26/11/2021, la División de Gestión Financiera remitió soportes de la legalización de un avance, cumpliendo con la Unidad de medida.</t>
  </si>
  <si>
    <t xml:space="preserve">La actividad presenta efectividad del 90%, por: 
1. Promedio eficiencia y eficacia: Alcanzó un avance del 100% y cumplió con el tiempo programado. 
2. Gestión del 100%: Se ajustó e implementó el formato, dando cumplimiento a la acción de mejora. 
3. Impacto 70%: El formato continúa en Versión 2, ya que no ha requerido mejoras. </t>
  </si>
  <si>
    <t>Vicerrectoría de Cultura y Bienestar</t>
  </si>
  <si>
    <t xml:space="preserve">INFORME 2.6-52.18/015 de 2017 EVALUACIÓN A LOS PROGRAMAS DEL SISTEMA DE CULTURA Y BIENESTAR UNIVERSITARIO </t>
  </si>
  <si>
    <t>Seguimiento según acta 2.6-1.60/30 del 12/12/2022 establece  compromisos no entregados a la fecha de consolidación de la herramienta</t>
  </si>
  <si>
    <t>El Sistema de Cultura y Bienestar no involucra de manera integral los programas y servicios de bienestar estudiantil, por lo que su operación se aparta del cabal cumplimiento de las políticas y objetivos generales e institucionales.</t>
  </si>
  <si>
    <t xml:space="preserve">El Acuerdo 030 del 2015 no incluye contenidos vigentes aplicados al desarrollo de programas y servicios propuestos, que permita una armonía entre las políticas y los objetivos generales e institucionales.                    </t>
  </si>
  <si>
    <t xml:space="preserve">Incluir en el Acuerdo 030 de 2015 contenidos que amplíen, articulen y regulen las acciones necesarias para el desarrollo de los programas y servicios dirigidos al bienestar universitario.
</t>
  </si>
  <si>
    <t>Desarrollar con diferentes miembros de la Vicerrectoría de Cultura y Bienestar modificaciones al Acuerdo 030 de 2015, donde se incorporen los procesos faltantes y operativos al Sistema.</t>
  </si>
  <si>
    <t>Documento con ajustes al Acuerdo 030 de 2015</t>
  </si>
  <si>
    <t>Actas
Documento  con ajustes</t>
  </si>
  <si>
    <t>Acuerdo Superior 030 de 2015 (establecimiento del Sistema de Cultura y Bienestar de la Universidad del Cauca), (Actualizado a 5 de junio de 2020)</t>
  </si>
  <si>
    <t>•La Vicerrectoría de Cultura y Bienestar abordó de manera participativa los ajustes al Acuerdo 030 de 2015. Se evidencia discusión respecto a los artículos 4 y 5. Y se propone suprimir los arts. 12,13, 14, 15, 16 y 17 ante la inoperancia de los Comités de Facultad para la promoción de la Cultura y el Bienestar y de los Comités Ad – hoc de asesoría y consulta</t>
  </si>
  <si>
    <t>Efectividad del 67%, por cuanto:
La revisión de las modificaciones al Acuerdo Superior 030 se realizó por fuera del tiempo programado.
Gestión 50%, las modificaciones al acuerdo aún no han sido aprobadas e implementadas.
Impacto 100%, se continua realizando la actividad.
Pendiente la aprobación del acuerdo.</t>
  </si>
  <si>
    <t>Presentar al Consejo Académico el proyecto de reforma al Sistema de Cultura y Bienestar para su aval</t>
  </si>
  <si>
    <t xml:space="preserve">Remisión al  Consejo Académico para su aprobación
Proyecto avalado </t>
  </si>
  <si>
    <t xml:space="preserve">Aval del Consejo Académico
Oficio de remisión
</t>
  </si>
  <si>
    <t>Ajustes al Acuerdo Superior 030 de 2015, se presentaron ante el Consejo de Cultura y Bienestar en el mes de julio de 2022, en la misma sesión el representante estudiantil solicita se dé un tiempo para revisar la propuesta en detalle y presentar retroalimentarla, a la fecha no se ha presentado la propuesta ajustada ante los nuevos decanos.
Con oficio 7.2-92.8/158 del 24/03/2023 la Vicerrectoría de Cultura solicitó ampliación de la fecha fin.
Acta 7.1-1.56/01 del 16/02/2023, incluye Aprobación de la reforma de los Acuerdos Superiores 030 de 2015 y 040 de 2015
Oficio 7.2-92.8/710  del  26/10/2023 de solicitud de concepto Acuerdos 030/2015 y 040/2003</t>
  </si>
  <si>
    <t xml:space="preserve">Con acta  7.1-1.56/01 del 16/02/2023 el Consejo de Cultura y Bienestar aprobó la reforma al acuerdo 040 así: "Seguidamente por unanimidad se aprueban para continuar con el trámite pertinente para ser aprobados por el Consejo Superior"
Se encuentra pendiente la aprobación del Consejo Académico.
Se mantiene el avance de 40%
Los avances en la aprobación del Acuerdo depende de la revisión por la Oficina Jurídica.
</t>
  </si>
  <si>
    <t xml:space="preserve">Enviar y sustentar ante el Consejo Superior los ajustes al Sistema de Cultura y Bienestar </t>
  </si>
  <si>
    <t>Acuerdo ajustado
Acuerdo aprobado</t>
  </si>
  <si>
    <t>Con oficio 7.2-92.8/158 del 24/03/2023 la Vicerrectoría de Cultura solicitó ampliación de la fecha fin.
Durante este periodo se ha descrito nuevamente los lineamientos para ser ajustada. se espera en agosto y septiembre poderla pasar a los demas Consejos.
Oficio 7.2-92.8/710  del  26/10/2023 de solicitud de concepto Acuerdos 030/2015 y 040/2003</t>
  </si>
  <si>
    <t>Los avances en la aprobación del Acuerdo depende de la revisión por la Oficina Jurídica.
Sin avance para la presentación al Consejo Superior</t>
  </si>
  <si>
    <t>Las regulaciones institucionales de los programas y servicios de bienestar estudiantil, no se encuentran armonizadas con las políticas y objetivos del Sistema de Bienestar Universitario o presentan vacíos que afectan su operatividad.</t>
  </si>
  <si>
    <t>No se evidencia una articulación entre los procesos y procedimientos con las políticas y objetivos planteados en el Sistema de Cultura y Bienestar.</t>
  </si>
  <si>
    <t>Evaluar los procesos y procedimientos relacionados con el Proceso de Gestión de la Cultura y su armonía con las políticas y objetivos del Sistema de Cultura y Bienestar</t>
  </si>
  <si>
    <t>Armonizar los Acuerdos que regulan el funcionamiento de las residencias y monitorias con las políticas y objetivos del Sistema de Cultura y Bienestar.</t>
  </si>
  <si>
    <t xml:space="preserve">Acuerdos armónicos con el Sistema de Cultura y Bienestar
</t>
  </si>
  <si>
    <t>Vicerrectoría de Cultura y Bienestar/División de Gestión de Salud Integral y Desarrollo Humano</t>
  </si>
  <si>
    <t>Actas
Registro de Asistencias</t>
  </si>
  <si>
    <t>La División de Salud Integral y Desarrollo Humano informó respecto a las propuestas de reforma de los Acuerdos 040 de 2003 reglamentario de las residencias universitarias y 066 de 2008 de las monitorias.
Oficio de respuesta 7.2-52.5/355 del 22/07/2022:
El acuerdo 040 esta siendo revizado por el Consejo de Cultura y Bienestar. Con el fin de ajustarlo y enviarlo al Consejo académico.
El acuerdo 066 aun sigue sin ser ajustado ni modificado.</t>
  </si>
  <si>
    <t xml:space="preserve">Como una de las principales reformas frente al Acuerdo 066/08, se prevé la exclusión del estudio socioeconómico realizado por trabajo social.  La aprobación y armonización está sujeto a la reforma del Acuerdo 030 de 2015. </t>
  </si>
  <si>
    <t>Efectividad del 50%.
Los acuerdos no se han armonizado al Sistema de Cultura y Bienestar, se continua revisando las propuestas de modificación de los Acuerdos, pendiente aprobación e implementación.</t>
  </si>
  <si>
    <t xml:space="preserve">Presentar e impulsar la aprobación de los ajustes a los Acuerdos que regulan el funcionamiento de las residencias y monitorias con las políticas y objetivos del Sistema de Cultura y Bienestar. </t>
  </si>
  <si>
    <t xml:space="preserve">Remisión al  Consejo Superior  para su aprobación
Proyecto avalado </t>
  </si>
  <si>
    <t>Vicerrectoría de Cultura y Bienestar/División de Gestión de Salud Integral y Desarrollo Humano
Vicerrectoría Administrativa</t>
  </si>
  <si>
    <t>Oficio
Registro de asistencia</t>
  </si>
  <si>
    <t xml:space="preserve">
Acta 7.1-1.56/01 del 16/02/2023, incluye Aprobación de la reforma de los Acuerdos Superiores 030 de 2015 y 040 de 2015
Socialización de la propuesta del nuevo acuerdo que regirá el uso de las Residencias Universitrias, ante el Comité de Dirección el día 6 de marzo de 2023.
Se envío vía correo electrónico la propuesta a la Oficina Jurídica para su revisión el dia 19 de abril de 2023, en revisión hasta la fecha.
Oficio 7.4-92.8/187 del 13/06/2023, solicitud de reunión para abordar temas
Acuerdo Superior 066, Propuesta de modificación del  Acuerdo y Solicitud de espacio en el Consejo Académico
Oficio 5-71.7/0243 del 04 de mayo de 2023 - designación interlocutor de la Vice- Adm.
Documento con la propuesta de ajuste al acuerdo.
Oficios:
Oficio 7.2-92.8/710 del 26/10/2023
Oficio 7.4-92.8/187 de 13 junio 2023- solicitud reunión Vicerrector Administrativo, reliquidación de matrículas, Acuerdo 052/2016, y 066/2008 y plan padrino
Oficio 7.4-92.8/221 del 18 de octubre de 2023, solicitud al Vicerrector de Cultura para entrega de la revisión de propuesta de acuerdo 040/2003 a Oficina asesora jurídica.
Oficio 7.4-52.5/288 del 17 agosto 2023, solicitud a Jefe Oficina Jurídica concepto  modificación acuerdo 040/2003
</t>
  </si>
  <si>
    <t>Acuerdo Superior 040:  Se evidencian gestiones para el ajuste del Acuerdo que regula el uso de las residencias universitarias, pendiente la revisión de la Oficina Asesora Jurídica y aprobación por el Consejo Superior.
Acuerdo Superior 066: se evidencia gestiones para el ajuste del Acuerdo de monitorías, pendiente el trabajo conjunto con la Vicerrectoría Administrativa.
Se mantiene el avance del 50%
Los avances en la aprobación del Acuerdo depende de la revisión por la Oficina Jurídica.</t>
  </si>
  <si>
    <t>Atemperar y direccionar  las minutas contractuales de arrendamiento del espacio de cafeterías como servicio de apoyo al bienestar universitario.</t>
  </si>
  <si>
    <t>Porcentaje de Minutas ajustadas al Sistema de Cultura y Bienestar</t>
  </si>
  <si>
    <t>Vicerrectoría de Cultura y Bienestar/División de Gestión de Salud Integral y Desarrollo Humano/Oficina Jurídica</t>
  </si>
  <si>
    <t>Contratos ajustados</t>
  </si>
  <si>
    <t>Con oficio 7.2-52/189 del 10/04/2023, se envío los términos de referencia de Cafeterías:
Contratos de arrendamiento 5.5-31.1/007, 5.5-31.1/008, 5.5-31.1/011, 5.5-31.1/012, 5.5-31.1/013, 5.5-31.1/014, 5.5-31.1/015, 5.5-31.1/016, 5.5-31.1/017 de 2022.
Desiganaciones de supervisor:  5.5-52.31/1021 19/10/2022, 5.5-52.31/1082 del 28/10/2022, 5.5-52.31/1086 del 31/10/2022, 5.5-52.31/1137 04/11/2022, 5.5-52.31/1138 04/11/2022, 5.5-52.31/1151 08/11/2022, 5.5-52.31/1165 09/11/2022, 5.5-52.31/1210 15/11/2022, 5.5-52.31/1247 22/11/2022
Acta 7.4-1.56/16 del 22/02/2023 y 7.4-1.56/25 del 03/03/2023 de reuniones con supervisores, arrendatarios y Vicerrector de Cultura
Propuesta Política Saludable aplicada a restaurantes, kioscos, puntos de venta de dulces, cafeterías y sus espacios saludables, pertenecientes a la Universidad del Cauca</t>
  </si>
  <si>
    <t>En los nuevos contratos de arrendamiento de las cafeterías, se designa como supervisor a cada Decano. El Vicerrector de Cultura y Bienestar cita a reuniones en las que se dan orientaciones referentes a los aspectos básicos de la norma.
Adjudicación de contratos para las cafeterías, se solicitó el curso de manipulación de alimentos.
Política de cafeterías se encuentra terminada – Pendiente de aprobación
Las minutas se atemperaron, especificando en la clausula sexta, las obligaciones de las partes.</t>
  </si>
  <si>
    <t>Efectividad de 83%.
El ajuste de  las minutas contractuales de arrendamiento del espacio de cafeterías, se realizó por fuera del tiempo programado.
Gestión 100%, se contempla los espacios de cafetería como como servicio de apoyo al bienestar universitario, con clausulas de responsabilidades para los arrendatarios y designación de supervisión a los Decanos de cada Facultad.
Impacto 100%, se realiza seguimiento y reuniones del Vicerrectori de Cultura y Bienestar con arrendatarios como control al cumplimiento de las obligaciones y otros temas.
Está en proyectó la Política de cafeterías</t>
  </si>
  <si>
    <t>La estrategia evaluada no se sujeta a los lineamientos de carácter general del Decreto 1295/2010 y la Guía para la implementación del Modelo de Gestión de Permanencia y Graduación Estudiantil en las IES, por lo que ni el documento ni el Plan logran satisfacer los proyectos estratégicos, los objetivos internos ni los lineamientos gubernamentales que orientan la política de permanencia y graduación estudiantil.</t>
  </si>
  <si>
    <t xml:space="preserve">Ausencia de la política y del modelo de gestión y permanencia y graduación que articule con el Sistema de Cultura y Bienestar la planeación,  ejecución y control de planes, programas y proyectos de bienestar del estamento estudiantil, conforme a las  necesidades del contexto institucional  y a las políticas públicas gubernamentales. </t>
  </si>
  <si>
    <t xml:space="preserve">Implementar el  modelo de gestión de  permanencia y graduación institucional, considerando las estrategias, acciones y herramientas previstas en la guía metodológica del Ministerio Educación Nacional, con el fin de articular las políticas y objetivos del Sistema de Cultura y Bienestar con las políticas públicas gubernamentales que orientan los programas y proyectos de bienestar para el estamento estudiantil. </t>
  </si>
  <si>
    <t>Adoptar  el Programa de Permanencia y Graduación-PPG considerando las fases de implementación del Modelo de Gestión de Permanencia y Graduación Estudiantil (Autoevaluar, Planear, Ejecutar, Verificar).</t>
  </si>
  <si>
    <t>Programa de Permanencia y Graduación adoptado</t>
  </si>
  <si>
    <t xml:space="preserve">Vicerrectoría de Cultura y Bienestar </t>
  </si>
  <si>
    <t>Documento del Modelo de Permanencia aprobado</t>
  </si>
  <si>
    <t>El Plan de Desarrollo Institucional 2018-2022 considera en su eje “Formación Integral con Cultura y Bienestar” el programa “Permaneser” y proyecto “Implementación del Modelo de permanencia y graduación estudiantil”, cuyo avance en ejecución reportada en la ficha de resumen de proyectos y avances de la Oficina de Planeación y Desarrollo Institucional-OPDI registra 47%, sobre la base de cinco (5) indicadores. 
El Vicerrector de Cultura y Bienestar y la docente encargada de coordinar el Programa informó en el seguimiento, que al iniciar cada periodo académico se extrae información del Sistema Integrado de Matricula y Control  Académico-SIMCA, para determinar el índice de deserción y  repitencia como referente a las medidas de control desde PERMANESER. 
También se informó sobre las siguientes actividades:
 Desarrollo del diplomado de permanencia y graduación. 
 Apoyo a estudiantes generación E. 
 Acompañamiento en matemática y lectura escritura. 
 Semillero de matemáticas – Colegio Antonio García Paredes. 
 Apoyo Huertas.
 Apoyo psicosocial Unidad de Salud.</t>
  </si>
  <si>
    <t>Efectividad del 67%
Gestión 100%, se adoptó la política de Programa Permanencia y Graduación, Acuerdo Superior 052. 
Impacto 50%, sin evidencia de revisión y actualización desde su aprobación.</t>
  </si>
  <si>
    <t xml:space="preserve">Conformar y determinar los roles del equipo universitario responsable de la  implementación del programa de Permanencia y Graduación para la Universidad del Cauca. </t>
  </si>
  <si>
    <t>Equipo con roles asignados</t>
  </si>
  <si>
    <t>Vicerrectoría de Cultura y Bienestar/Vicerrectoría Académica</t>
  </si>
  <si>
    <t>Acto de conformación del equipo con asignacón de roles</t>
  </si>
  <si>
    <t>• El Plan de Desarrollo Institucional 2018-2022 considera en su eje “Formación Integral con Cultura y Bienestar” el programa “Permaneser” y proyecto “Implementación del Modelo de permanencia y graduación estudiantil”, cuyo avance en ejecución reportada en la ficha de resumen de proyectos y avances de la Oficina de Planeación y Desarrollo Institucional-OPDI registra 47%, sobre la base de cinco (5) indicadores. 
El Vicerrector de Cultura y Bienestar y la docente encargada de coordinar el Programa informó en el seguimiento, que al iniciar cada periodo académico se extrae información del Sistema Integrado de Matricula y Control  Académico-SIMCA, para determinar el índice de deserción y  repitencia como referente a las medidas de control desde PERMANESER. 
También se informó sobre las siguientes actividades:
 Desarrollo del diplomado de permanencia y graduación. 
 Apoyo a estudiantes generación E. 
 Acompañamiento en matemática y lectura escritura. 
 Semillero de matemáticas – Colegio Antonio García Paredes. 
 Apoyo Huertas.
 Apoyo psicosocial Unidad de Salud.</t>
  </si>
  <si>
    <t>Equipo ejecutor. Coordinadora docente con asignación de labor académica. 10 horas. No tiene categoría de coordinador. 
Dos profesores solicitaron PERMANESER-FACA (5 horas) Y BIOLOGÍA (5 horas). 
Salud Integral: psicopedagógico. No existe una clara articulación entre el comité ejecutor y la División de Salud Integral. 
Pendiente revisar el equipo de apoyo al programa.</t>
  </si>
  <si>
    <t>verificar la  previsión de recursos para la implementación de los proyectos de bienestar y de las oportunidades de mejora del CNA.</t>
  </si>
  <si>
    <t>Monitoreo al Programa de Permanencia y Graduación implementado y monitoreado</t>
  </si>
  <si>
    <t>Informes de monitoreo</t>
  </si>
  <si>
    <t xml:space="preserve">La Vicerrectoría de Cultura y Bienestar dio respuesta al requerimiento de avance corte diciembre 2021, refiriendo con oficio 7.2-92.8/017 del 17/01/2022, refiriendo la implementación del programa Permaneser. </t>
  </si>
  <si>
    <t xml:space="preserve">La OCI con base en la Unidad de Medida asigna avance del  100%
La OCI recomienda realizar seguimiento a la ejecución presupuestal del proyecto con base en indicadores. </t>
  </si>
  <si>
    <t>Efectividad del 75%
Se realizaron seguimientos al proyecto estratégico "Implementación del Modelo de permanencia y graduación estudiantil" con avance del 77% a junio del 2022.
Gestión 100%, se Monitorea al Programa de Permanencia y Graduación 
Impacto sin valoración</t>
  </si>
  <si>
    <t>La Universidad carece de un sistema de información de apoyo al manejo de la deserción estudiantil, con lo que las fuentes de información estadística tomadas en cuenta para el diagnóstico en el período 2010 a 2015 no garantizan absoluta certeza.</t>
  </si>
  <si>
    <t xml:space="preserve">Reportar a partir  las fuentes de información de la Vicerrectoría de Cultura y Bienestar, sobre estadísticas sobre deserción estudiantil. </t>
  </si>
  <si>
    <t xml:space="preserve">Organizar y sistematizar la información de los estudiantes que cancelan matricula académica. </t>
  </si>
  <si>
    <t>Información organizada y sistematizada</t>
  </si>
  <si>
    <t xml:space="preserve">Reportes con información veráz remitido a OPDI. </t>
  </si>
  <si>
    <t xml:space="preserve">Se realizó el contrato de prestación de servicios No. 5.5-31.5/365 de 31 de marzo de 2023, contratista Melisa Espinosa Rivera, quien adelanta la sistematización de la información de los estudiantes que cancelaron matricula académica en los años 2017, 2018, 2019 y 2022, con el fin de realizar el diagnostico e informe actualizado de los motivos de cancelación de los estudios de pregrado, que permitan realizar la planeación y ejecución de programas y proyectos de bienestar conforme a las necesidades de la comunidad estudiantil, aportando  así a la permanencia y graduación. 
DIAGNÓSTICO DE CANCELACIÓN DE SEMESTRE AÑOS 2017,2018,2019 y 2022 </t>
  </si>
  <si>
    <t xml:space="preserve">Se cumple con la meta de la actividad con la presentación del diagnostico que contiene información organizada y sistematizada de la cancelación de la matrícula académica, y presenta un comparativo desde la vigencia 2011 a 2022 en la Universidad del Cauca.
Se presentan conclusiones y recomendaciones para fortalecer el programa de Permanencia y Graduación </t>
  </si>
  <si>
    <t xml:space="preserve">No hay avances, sobre el tema. No ha sido posible coordinar la información. Unicauca en cifras. 
La propuesta de alertas tempranas, podría ser una forma en que la vice intenta obtener información sobre la deserción. 
Viceacadémica tiene modulo consulta SIMCA. Protocolos de control de la información. Con esto se pretende unificar y obtener información. </t>
  </si>
  <si>
    <t xml:space="preserve">Organizar y sistematizar de los estudiantes usuarios del Programa de Permanencia y Graduación. </t>
  </si>
  <si>
    <t>Con oficio 7.1-20.8/31 del 17/10/2023 la Coordinadora Programa PermaneSer complementó la información presentando INFORME DE ATENCIONES DEL PROGRAMA PERMANESER DE LA UNIVERSIDAD DEL CAUCA VIGENCIA 2022, VICERRECTORÍA DE CULTURA Y BIENESTAR.</t>
  </si>
  <si>
    <t>Se cumple con la meta de la actividad con la presentación del informe de atenciones del programa PermaneSer a estudiantes de pregrado de la vigencia 2022. 
No se evidenció las conclusiones y acciones resultantes del Diagnóstico.</t>
  </si>
  <si>
    <t xml:space="preserve">Salud integral realiza diagnóstico cada 3 años sobre las causas. </t>
  </si>
  <si>
    <t xml:space="preserve">
Reportar a partir  las fuentes de información de la Vicerrectoría de Cultura y Bienestar, sobre estadísticas sobre deserción estudiantil. </t>
  </si>
  <si>
    <t>Reportar a la Oficina de Planeación y de Desarrollo Institucion la información consolidada sobre permanencia y graduación</t>
  </si>
  <si>
    <t>Información reportada</t>
  </si>
  <si>
    <t>Reportes de información</t>
  </si>
  <si>
    <t>Con oficio 7.2-52.5/978 del  30 de noviembre de 2023, la Vicerrectoría de Cultura reportó:
PROGRAMA DE PERMANENCIA Y GRADUACIÓN PERMANESER VICERRECTORÍA DE CULTURA Y BIENESTAR INFORME DE ATENCIONES DE PERMANESER 2023-II (1 DE AGOSTO AL 31 DE OCTUBRE)</t>
  </si>
  <si>
    <t>Se consolidó la información de las atenciones realizadas por el programa PermaneSer en la vigencia 2023,  en el contenido del Informe se referencia las comunicaciones a las Facultades "Tabla 5: Caracterizaciones estudiantes de primer semestre 2023-I" donde se evidencia las fortalezas y debilidades en los aspectos evaluados
Tabla 8: Caracterización pruebas Saber Pro, estudiantes con más del 70% de créditos aprobados.</t>
  </si>
  <si>
    <t>El informe  final de acreditación institucional emitido en el 2012, describe objetivos y estrategias que no responden a las problemáticas de retención y deserción, limitando las acciones de mejora a la construcción e implementación de un sistema de información que “mida la efectividad de los procesos académicos”.</t>
  </si>
  <si>
    <t xml:space="preserve">Ausencia de la política de permanencia y graduación que articule con el Sistema de Cultura y Bienestar la planeación,  ejecución y control de planes, programas y proyectos de bienestar del estamento estudiantil, conforme a las  necesidades del contexto institucional  y a las políticas públicas gubernamentales. </t>
  </si>
  <si>
    <t xml:space="preserve">Formular la política de Permanencia y Graduación articulada al Sistema de Cultura y Bienestar, y a las políticas públicas gubernamentales. </t>
  </si>
  <si>
    <t>Elaborar un diagnóstico sobre las causales para la deserción vigencias 2013 - 2017</t>
  </si>
  <si>
    <t>Diagnóstico realizado</t>
  </si>
  <si>
    <t>Documento de Diagnóstico</t>
  </si>
  <si>
    <t xml:space="preserve">El Acuerdo 052 de 2018 adopta la política de Fomento a la Permanencia y Graduación Estudiantil en la Universidad del Cauca a partir de seis componentes, sobre la cual se determinó el programa Permaneser. </t>
  </si>
  <si>
    <r>
      <t xml:space="preserve">
</t>
    </r>
    <r>
      <rPr>
        <b/>
        <u/>
        <sz val="11"/>
        <color rgb="FF000000"/>
        <rFont val="Arial"/>
        <family val="2"/>
      </rPr>
      <t xml:space="preserve">La OCI asigna avance del 100%. </t>
    </r>
  </si>
  <si>
    <t>Efectividad del 50%
Se realizó un diagnostico de causales de deserción, sin embargo, se encuentra pendiente su actualización vigencias 2017-2022.</t>
  </si>
  <si>
    <t xml:space="preserve">Determinar las líneas estratégicas para atender las causas de deserción identificadas </t>
  </si>
  <si>
    <t>Documento de análisis estratégico</t>
  </si>
  <si>
    <t>Documento de análisis de estrategias</t>
  </si>
  <si>
    <t>Diseñar y adoptar la política acorde al contexto institucional y a los lineamientos generales aplicables</t>
  </si>
  <si>
    <t>Politica diseñada y adoptada</t>
  </si>
  <si>
    <t>Politica aprobada</t>
  </si>
  <si>
    <t>Efectividad del 50%
Se adoptó la pólitica de permanencia y graduación, sin revisión y actualización acorde al contexto institucional.</t>
  </si>
  <si>
    <t>Los proyectos estratégicos de tratamiento a las oportunidades de mejora no han logrado un desarrollo adecuado, a partir del diagnóstico presentado en el informe de autoevaluación institucional para la acreditación.</t>
  </si>
  <si>
    <t>Debilidad de un trabajo desde la planeación como herramienta estratégica para la previsión de recursos y monitoreo como fases previas y concomitantes que aseguren la implementación de los programas y  proyectos dentro del desarrollo del Plan de Acción de la Vicerrectoría de Cultura y Bienestar.</t>
  </si>
  <si>
    <r>
      <t xml:space="preserve">
</t>
    </r>
    <r>
      <rPr>
        <b/>
        <sz val="11"/>
        <color theme="1"/>
        <rFont val="Arial"/>
        <family val="2"/>
      </rPr>
      <t xml:space="preserve">Verificar en el PDI 2018-2022, los programas y proyectos relacionados con las oportunidades de mejora de bienestar del estamento estudiantil. 
</t>
    </r>
  </si>
  <si>
    <r>
      <t xml:space="preserve">Construir indicadores de seguimiento y evaluación que permita ser estratégico en la toma de decisiones para implementar estrategias de impacto.
</t>
    </r>
    <r>
      <rPr>
        <b/>
        <sz val="11"/>
        <color theme="1"/>
        <rFont val="Arial"/>
        <family val="2"/>
      </rPr>
      <t xml:space="preserve">Determinar los indicadores para la medición del Plan de Acción de la Vicerrectoría de Cultura y Bienestar. 
Determinar la herramienta técnica para monitorear los Programas y proyectos de la Vicerrectoría de Cultura y Bienestar, en términos de la ejecución presupuestal, impacto, pertinencia y coherencia con la oportunidad de mejora y control. </t>
    </r>
  </si>
  <si>
    <t>. 
Indicadores construidos</t>
  </si>
  <si>
    <t>Gestión de la Cultura y el Bienestar</t>
  </si>
  <si>
    <t>Documento de Plan de Acción con indicadores</t>
  </si>
  <si>
    <t xml:space="preserve">
El Plan de Desarrollo Institucional 2018-2022 considera en su eje “Formación Integral con Cultura y Bienestar” el programa “Permaneser” y proyecto “Implementación del Modelo de permanencia y graduación estudiantil” con cinco (5) indicadores. </t>
  </si>
  <si>
    <t>Efectividad del 64%.
Gestión 100%, Se realizó seguimiento unicamente a los indicadores contemplados en el Plan de Desarrollo Institucional - PDI 2018-2022, que asigna avance de 93% para el eje de formación integral con Cultura y Bienestar a su cierre.
Impacto 50%, sin evidencia del análisis de los resultados obtenidos, por cuanto el monitoreo lo consolidó la Oficina de Planeación y Desarrollo Institucional.</t>
  </si>
  <si>
    <t xml:space="preserve">Armonizar las oportunidades de mejora vigentes con los nuevos proyectos del PDI 2018-2022 "Hacia una Universidad comprometida con la Paz Territorial" Esta sería la oportunidad de mejora. </t>
  </si>
  <si>
    <t xml:space="preserve">. 
Porcentaje de oportunidades de mejora del CNA incluidas en el PDI. </t>
  </si>
  <si>
    <t>Documento del PDI con las oportunidades de mejora articuladas</t>
  </si>
  <si>
    <t>Efectividad del 89%,
Gestión 100%, El Plan de Desarrollo Institucional 2023-2027, por una Universidad de excelencia y solidaria, contempla el eje Cultura y Bienestar como impulsor del desarrollo institucional con definición de indicadores.
Impacto 100%, el PDI contempla el análisis a las oportunidades de mejora del CNA</t>
  </si>
  <si>
    <t>Verificar la  previsión de recursos para la implementación de los proyectos de bienestar y de las oportunidades de mejora del CNA.</t>
  </si>
  <si>
    <t>. 
Presupuesto asignado para Cultura y Bienestar</t>
  </si>
  <si>
    <t xml:space="preserve">Gestión de la Cultura y el Bienestar
</t>
  </si>
  <si>
    <t xml:space="preserve">Acto administrativo  </t>
  </si>
  <si>
    <t>Los procedimientos documentados para los programas y servicios de bienestar estudiantil, no facilitan su operación.</t>
  </si>
  <si>
    <t>Procedimientos desactualizados sin articulación con las normatividades internas y políticas institucionales; sin reglamentación técnica que no aclara los procesos.</t>
  </si>
  <si>
    <t>Revisar, ajustar, actualizar  y crear  procedimientos que permitan evidenciar los procesos claros de Bienestar.</t>
  </si>
  <si>
    <t xml:space="preserve">Identificar los procedimientos desactualizados y/o susceptibles a mejora. </t>
  </si>
  <si>
    <t>Reuniones para revisar los documentos en cada división</t>
  </si>
  <si>
    <t>Procedimientos actualizados en el Programa Lvmen</t>
  </si>
  <si>
    <t xml:space="preserve">Se identificó y depuró la información de la Vicerrectoría de Cultura en el Programa Lvmen.
Acta 7.4-1.56/61 del 26/10/2021  y acta 7.4-1.56/64 del 27/10/2021
Con oficio 7.2-92.8/158 del 24/03/2023 la Vicerrectoría de Cultura solicitó ampliación de la fecha fin.
Acta 7.3-1.56/109 del 20/04/2023, de Revisión formatos LVMEN la División de Recreación y el Deporte
   </t>
  </si>
  <si>
    <t>La Vicerrectoría de Cultura y Bienestar y sus Divisiones identifican la necesidad de documentos del programa Lvmen a Actualizar.
Se evidencia acta  7.3-1.56/109 sin firmas.</t>
  </si>
  <si>
    <t>Efectividad del 75%
Se revisó los documentos a actualizar en el Programa Lvmen de la Vicerrectoría de Cultura y Binestar.
Gestión 100%, se cuenta con diagnóstico de los procedimientos y formatos a actualizar.
Impacto 25%, no se visibiliza la actualización en el Pograma Lvmen.</t>
  </si>
  <si>
    <t xml:space="preserve">Ajustar y actualizar los procedimientos en cuanto a su documentación y observancia a las normas, políticas y objetivos institucionales. </t>
  </si>
  <si>
    <t xml:space="preserve">Reuniones con diferentes actores para los nuevos documentos y/o ajustes respectivos a los procesos y procedimientos </t>
  </si>
  <si>
    <t>Con oficio 7.2-52.5/978 del  30 de noviembre de 2023, la Vicerrectoría de Cultura reportó:
Matriz en formato Excel "Revisión documental Lvmen procesos y procedimientos", registra 80 tipos, con sus respectivas observaciones - División de Salud Integral.
Acta 7.4-1.56/137 del 23/11/2023 de actualización de documentos de odontología: referencia formatos, manuales, protocolos ajustados dados de baja, entre otros.
Acta 7.4-1.56/118 del 23/10/2023, de revisión y adopción de guía clinica de depresión
Formato solicitud de creación, modificación o baja de documentos - registro de visitantes colecciones cerradas. 
Documentos actualizados en el programa Lvmen:  PA-GU-7.2-FOR-3, 5, 7, 10, 11, 12, 13, 14</t>
  </si>
  <si>
    <t>Revisada  la información del programa Lvmen y con base en el reporte al Centro de Gestión de la Calidad y Acreditación Institucional, la Vicerrectoria de Cultura presenta 24% de avance en la actualización de sus documentos:
Gestión de la cultura no evidencia actualización de  PA-GU-7.2-FOR-6, 8, 9 con fecha de15-05-2021, ni de los procedimientos.
Se evidencias las gestiones para la actualización de los documentos del Programa Lvmen, por lo que se asigna porcentaje de avance de 70%, en espera de la validación por parte del Centro de Gestión de la Calidad y Acreditación Institucional.</t>
  </si>
  <si>
    <t>Implementar en la operación del proceso los procedimientos mejorados.</t>
  </si>
  <si>
    <t xml:space="preserve">Dar a conocer  los procedimientos y procesos </t>
  </si>
  <si>
    <t>Con oficio 7.2-52.5/978 del  30 de noviembre de 2023, la Vicerrectoría de Cultura reportó:
Actualmente se realiza la revisión y actualización de procesos y procedimientos de la Division de Gestión de Salud Integral y Desarrollo Humano. 
En el caso de la División de Gestión de la Cultura se realizarón la mejora a los procedimientos PAGU 7.2PR-14 y el PAGU7.2 PR-5</t>
  </si>
  <si>
    <t>Se sustentan mejoras en los procedimientos aplicados por la Vicerrectoría de Cultura y Bienestar, sin embargo, no se visibiliza la actualización de los procedimientos en Lvmen.
Se mantiene avance de 40%</t>
  </si>
  <si>
    <t>La distribución, el control y la ejecución de los recursos económicos asignados al Sistema de Cultura y Bienestar, no satisfacen integralmente las necesidades de los programas y servicios de bienestar estudiantil.</t>
  </si>
  <si>
    <t>No se cuenta con una conciencia de inversión presupuestal real, necesaria para cumplir con el Bienestar al interior de la Universidad del Cauca</t>
  </si>
  <si>
    <t>Presentar dentro del proceso de planeación presupuestal los programas, proyectos y servicios de la VICECB que permita una coherencia entre la ejecución de los mismos y la asignación de recursos para cada uno de los programas del plan de acción en concordancia con el PDI</t>
  </si>
  <si>
    <t xml:space="preserve">Planificar las acciones y actividades de la vigencia siguiente considerando el Plan de Acción de la VICEB. 
</t>
  </si>
  <si>
    <t xml:space="preserve">Plan de Trabajo de la vigencia </t>
  </si>
  <si>
    <t>Propuesta del Plan estratégico a presentarse ante el Comité de Cultura y Bienestar..
Con oficio 7.2-92.8/158 del 24/03/2023 la Vicerrectoría de Cultura solicitó ampliación de la fecha fin.
Formato PE-GE-2.4-FOR-49 seguimiento y evaluación a Plan de Acción Anual del Plan de Desarrollo Institucional
020_CONVENIO_3594-2023 CONCERTACION MINCULTURA POR POPAYAN CIUDAD LIBRO 2023
Copia de PA-GA-5.4.5-FOR-13 INVERSION -Plan Anual de Adquisiciones V2 dep.
PA-GA-5.4.5-FOR-13 FUNCIONAMIENTO-Plan Anual de Adquisiciones V2 dep. (1)
03 - PE-GE-2.4-FOR-48. Presentación y Seguimiento proyectos - Fortalecimiento Cultural de la Memoria V3 (3)
Actas de reunión 7.1-1.56/004 del 19/01/2023 y 7.1-1.56/006 24/01/2023, de revisión de los planes de Acción 2023 de las Divisiones de la Vicerrectoría de Cultura.
PLAN DE ACCION con las actividades para la División de Gestión de Cultura 2023</t>
  </si>
  <si>
    <t>Existen planes estratégicos de la Vicerrectoría de Cultura y Bienestar que contienen elementos de control como lo son los proyectos de Plan de Desarrollo Institucional y el Plan Anual de Adquisiciones, sin embargo, se debe evidenciar el seguimiento de las acciones y actividades para cada vigencia acorde a las necesidades de los programas y servicios de bienestar estudiantil distintos a los planes operativos de las Divisiones de la Vicerrectoría de Cultura.</t>
  </si>
  <si>
    <t>PDI - Programas y proyectos. Inversión y funcionamiento (deporte, salud integral y bienestar). Plan Acción 2018 - enero junio - julio diciembre. Cada División y Programa. 
Programa vigencia 2018-2019. Comité estratégico cada martes pedir las actas. Cuatrismetre.informes consilidados. Inversiones Isabel, que envie como hace control al presupuesto. inversión y funcionamiento.</t>
  </si>
  <si>
    <t>Incumplimiento de las normas básicas de gestión documental en cuanto a los registros de monitorias, supervisión de cafeterías, póliza estudiantil, actas de Consejo de Bienestar.</t>
  </si>
  <si>
    <t>Falta de cumplimiento a las normas de gestión documental en los archivos de la Vicerrectoría de Cultura y Bienestar  y sus divisiones</t>
  </si>
  <si>
    <t>Apropiar las normas de gestión documental de la VICECB y sus divisiones para un mejor manejo y registro de la documentación</t>
  </si>
  <si>
    <t>Capacitar a las secretarias de las divisiones y dirección central de la VICECB y a su vez a los equipos de las divisiones y programas que manejan y producen documentos</t>
  </si>
  <si>
    <t>Capacitaciones realizadas y archivos gestionados</t>
  </si>
  <si>
    <t>Vicerrectoría de Cultura y Bienestar y Secretaría General</t>
  </si>
  <si>
    <t>Registros de solcitud y capacitación</t>
  </si>
  <si>
    <t>La Vicerrectoría de Cultura y Bienestar dio respuesta al requerimiento de avance corte diciembre 2021 con oficio 7.2-92.8/017 del 17/01/2022, informa sobre las capacitaciones realizadas por la Secretaría General en asuntos de gestión documental.</t>
  </si>
  <si>
    <r>
      <t xml:space="preserve">La OCI con base en la Unidad de Medida </t>
    </r>
    <r>
      <rPr>
        <b/>
        <u/>
        <sz val="11"/>
        <color rgb="FF000000"/>
        <rFont val="Arial"/>
        <family val="2"/>
      </rPr>
      <t xml:space="preserve">asigna avance del 100%. </t>
    </r>
  </si>
  <si>
    <t xml:space="preserve">Auditoría del Área de Gestión documental. Revisar el acta de Gestión Documental. </t>
  </si>
  <si>
    <t xml:space="preserve">Diseñar e implementar el plan de trabajo para la organización del archivo de gestión. </t>
  </si>
  <si>
    <t>Plan de Trabajo diseñado e implementado</t>
  </si>
  <si>
    <t>Vicerrectoría de Cultura y Bienestar/División de Gestión de Cultura/División de Gestión de Salud Integral y Desarrollo Humano/División de Gestión de la Recreación y del Deporte</t>
  </si>
  <si>
    <t xml:space="preserve">Documento Plan de Trabajo </t>
  </si>
  <si>
    <t>Se registra en la División de Gestión de la Cultura una organización de sus archivos y se ha desarrollado el traslado acorde a las tablas de retención documental. Se desarrollo la visita del Área de Archivo para revisión el que se ajusto de acuerdo a lineamientos y se esta a la espera de que dicha dependencia nos de el aval para enviar los documentos, ya que esa fue la directriz.</t>
  </si>
  <si>
    <t>Sin evidencia del Plan de Trabajo para la organización del archivo de Gesitón de la Vicerrectoría de Cultura y Bienestar.</t>
  </si>
  <si>
    <t xml:space="preserve">Monitorear la aplicación del Plan de Trabajo de gestión documental.  </t>
  </si>
  <si>
    <t>Seguimiento y monitoreos realizado</t>
  </si>
  <si>
    <t xml:space="preserve">Registros monitoreo. </t>
  </si>
  <si>
    <t>En la División de Gestión de Salud Integral y Desarrollo Humano,  se realiza el archivo conforme a la tabla de retencion documental. se llevo a cabo una reunion virtual con la funcionaria Ingrid Johana Quiñonez, del Area de Gestión Documental, el dia 14 de noviembre de 2023, para establecer los cambios a realizarse en la nueva tabla de retencion documental. realizada mediante el siguente link:  https://meet.google.com/cpg-rmbj-vbk</t>
  </si>
  <si>
    <t>Sin evidencia del Plan de Trabajo para la organización del archivo de Gesitón de la Vicerrectoría de Cultura y Bienestar. En visita realizada por la OCI a las instalaciones de la Vicerrectoría de Cultura y Bienestar y Patrimonio, se evidenció los archivos de gestión con aspectos por mejorar acorde a las normas de gestión documental, como se registra en acta de seguimiento 2.6-1.60/04 del 27/06/2023 y 2.6-1.60/05 del 05/07/2023</t>
  </si>
  <si>
    <t xml:space="preserve">Direccionamiento Estratégico - Gestión Administrativa y Financiera </t>
  </si>
  <si>
    <t>30/10/2019</t>
  </si>
  <si>
    <t>EVALUACIÓN A LOS RECURSOS
PROVENIENTES DE LA “ESTAMPILLA UNIVERSIDAD DEL CAUCA 180 AÑOS” INFORME 2.6-52.18/24 de 2019</t>
  </si>
  <si>
    <t>30/12/2020</t>
  </si>
  <si>
    <t>Se reportó por la OPDI la pérdida de información relacionada con inversión de recursos Estampilla, razón por la que se proporcionó información parcial sobre la
administración de los planes, programas o proyectos financiados con recursos “Estampilla Universidad del Cauca 180 años”, desde la vigencia 2011 cuando se
inició la ejecución de dicho recurso.</t>
  </si>
  <si>
    <t xml:space="preserve">
No existe trazabalidad en la indentificacion de los planes, programas y proyectos que estan financiados con los recursos de estampilla desde la vigencia 2017 - 2019
</t>
  </si>
  <si>
    <t xml:space="preserve">Recopilación de la información de los planes, programas y proyectos financiados con recursos de estampilla 
de las vigencias 2017 - 2019. 
 Creación de formato y actualización del procedimiento para el seguimiento y control a estos recursos 
</t>
  </si>
  <si>
    <t xml:space="preserve">Recopilación de informacion de los planes, programas y proyectos financiados con recursos de estampilla vigencia 2017 -2019. 
Creación de formato y actualización de procedimiento para el seguimientos a planes programas y proyectos que se ejecutan con recursos de estampilla 
</t>
  </si>
  <si>
    <t xml:space="preserve">Procedimiento actualizado
Formato Creado  
Numero de planes, programas y  proyectos con recursos de estampilla con documentación recopilada </t>
  </si>
  <si>
    <t xml:space="preserve">Jefe de planeación, Profesional Universitario y Secretaria de la OPDI.
</t>
  </si>
  <si>
    <t xml:space="preserve">Registro en digital  de los programas, planes y proyectos financiados con recursos de estampilla.
Procedimiento Ajustado y Publicado en LVMEN  </t>
  </si>
  <si>
    <t>Link procedimiento actualizado y Formato creado: http://www.unicauca.edu.co/prlvmen/subprocesos/gesti%C3%B3n-de-la-planeaci%C3%B3n-y-desarrollo-institucional
Link Plan de inversión- Banco de programas y proyectos: 
http://www.unicauca.edu.co/versionP/sites/default/files/files/Plan_Inversi%C3%B3n2021_Banco_Programas_Proyectos_Actualizado.xlsx
Carpeta con archivos de la documentación</t>
  </si>
  <si>
    <r>
      <t xml:space="preserve">Mediante oficio 2.4 - 52.18/759 del 18/06/2021, la OPDI reportó carpeta que contiene la implementación del Formato para seguimiento a proyectos. 
El 01/08/2022 la Oficina de Control Interno realizó la verificación física de las carpetas de la documentación de los proyectos. 
</t>
    </r>
    <r>
      <rPr>
        <b/>
        <sz val="11"/>
        <color theme="1"/>
        <rFont val="Arial"/>
        <family val="2"/>
      </rPr>
      <t xml:space="preserve">OCI: 
</t>
    </r>
    <r>
      <rPr>
        <sz val="11"/>
        <color theme="1"/>
        <rFont val="Arial"/>
        <family val="2"/>
      </rPr>
      <t xml:space="preserve">
Se actualizó el procedimiento, se elaboró e implementó el Formato para seguimiento, y se observó la documentación de los proyectos financiados con resursos de estampilla.</t>
    </r>
  </si>
  <si>
    <t xml:space="preserve">La actividad presenta efectividad del 53%, por: 
1. Promedio eficacia y eficiencia 50%: La actividad se cumplió en 100%, pero no se cumplió dentro del tiempo programado.
2. Gestión del 50%: En la verificación se evidenció la recopilación de la documentación de los proyectos financiados con recursos estampilla, sin embargo, se encontraron falencias en la organización de los mismos, así como falta de la aplicación de tablas de retención documental. 
3. Impacto 60%: Se evidenció la aplicación de los formatos creados para los seguimientos a proyectos financiados con recursos de estampillas. </t>
  </si>
  <si>
    <t>No es determinable el numero de planes, programas , proyectos financiados con recursos "Estampilla Universidad del Cauca"</t>
  </si>
  <si>
    <t xml:space="preserve">
Deficiencias en la planeación estrategica para determinar el numero de planes, programas , proyectos financiados con recursos "Estampilla Universidad del Cauca"
</t>
  </si>
  <si>
    <t xml:space="preserve">Aplicar los lineamientos establecidos en la normatividad Institucional </t>
  </si>
  <si>
    <t>Actualización del formato  de Banco de programas y proyectos discriminando los recursos de acuerdo a su procedencia</t>
  </si>
  <si>
    <t xml:space="preserve">Banco de programas y proyectos Actualizado </t>
  </si>
  <si>
    <t>Jefe de planeación y profesionales universtarios</t>
  </si>
  <si>
    <t>Banco de programas y proyectos actualizado y publicados en pagina web</t>
  </si>
  <si>
    <t>Anexo 1.3. Plan de Inversión - BPP 2018-2021
Link  Plan de inversión- Banco de programas y proyectos: 
http://www.unicauca.edu.co/versionP/sites/default/files/files/Plan_Inversi%C3%B3n2021_Banco_Programas_Proyectos_Actualizado.xlsx</t>
  </si>
  <si>
    <t xml:space="preserve">Mediante oficio 2.4 - 52.18/759 del 18/06/2021, la OPDI reportó los avances así: 
Plan de Inversión-Banco de Programas y Proyectos  2018 - 2021 actualizado y publicado en la página web Institucional - Banner Ley de Transparencia, con la descripción del radicado (RG) y recursos Estampilla Universidad del Cauca 180 años. 
OCI: La valoración de las evidencias permite asignar el % de avance de cumplimiento de la acción.  </t>
  </si>
  <si>
    <t>La actividad presenta efectividad del 83%, por: 
1. Promedio eficacia y eficiencia 69%: La actividad se cumplió en 100%, pero no se cumplió dentro del tiempo programado.
2. Gestión del 100%: Se evidenció el cumplimiento de la actividad, ya que en la página web Institucional- Ley de Transparencia- Planeación, se encuentra publicado el banco de programas y proyectos del Plan de Desarrollo 2018-2023. 
3. Impacto del 80%: En el portal web Institucional - Banner Ley de trasnsparencia- se encuentra actualizado el banco de programas y proyectos con los proyectos del plan de desarrollo 2023-2027, y el formato PE-GE-2.4- FOR - 48  de Banco de Programas y Proyectos Universidad del Cauca - BPPUC con versión 3 del 5/12/2022</t>
  </si>
  <si>
    <t xml:space="preserve">No existe guia o procedimiento que proporcione los lineamientos efectivos y adecuados para realizar el registro, seguimiento y evaluación de los planes, programas o proyectos financiados con cualquier tipo de recursos. </t>
  </si>
  <si>
    <t xml:space="preserve">
No se realiza seguimiento tecnico  y financiero  por parte de la OPDI  a los proyectos financiados con recursos de estampilla  </t>
  </si>
  <si>
    <t xml:space="preserve">Realizar un seguimiento tecnico a los planes, programa y  proyectos Financiados con recursos de estampilla por parte de la OPDI </t>
  </si>
  <si>
    <t xml:space="preserve">Creación de Formato para el seguimiento a los proyectos  financiados con recursos de estampilla  </t>
  </si>
  <si>
    <t xml:space="preserve">Formato Creado 
Seguimientos tecnicos realizados </t>
  </si>
  <si>
    <t>Jefe de Planeación y profesional Universitario</t>
  </si>
  <si>
    <t>Formato Creado y publicado 
Seguimiento tecnico realizado</t>
  </si>
  <si>
    <t>Seguimiento proyecto en Formato PE-GE 2.2 - FOR- 48 Anexo B. Presentación y seguimiento proyectos.</t>
  </si>
  <si>
    <t>Con Oficio 2.4 - 52.18/690 del 2022, Oficina de Planeación y Desarrollo Institucional, remitió el seguimiento del proyecto "contrucción de aulas para clase..." en el formato  PE-GE 2.2 - FOR- 48 Anexo B. V1 DEL 2020.
La OCI el 01/08/2022 realizó una verificación física a la carpeta de seguimiento de proyectos financiados con recursos de estampillas.</t>
  </si>
  <si>
    <t>La actividad presenta efectividad del 73%, por: 
1. Promedio eficacia y eficiencia 50%: La actividad se cumplió en 100%, pero no se cumplió dentro del tiempo programado.
2. Gestión del 90%:  Se suguiere que desde la Oficina de Planeación se realice un acompañamiento técnico a los responsables del diligenciamiento de la herramienta, ya que se observó que ésta es compleja. 
Se evidencia la actualización del PE-GE 2.2 - FOR- 48 V3 del 05/12/2022.
3. Impacto del 80%: El formato fue actualizado recientemente.</t>
  </si>
  <si>
    <t>No se determinan las variables principales para el seguimiento y evaluación de las lineas financiadas respecto de: valor total, tiempos, estados de ejecución y avance actual, exceptuando parcialmente alguna información del PDI 2018-2022</t>
  </si>
  <si>
    <t xml:space="preserve">No se evidenció ningun tipo de seguimiento integral a la ejecución de estos recursos especificos  </t>
  </si>
  <si>
    <t>Discontinuidad en la apropiación de recursos para algunas lineas de inversión, sin información soportada sobre la suspensión o aplazamiento.</t>
  </si>
  <si>
    <t>la Universidad no tiene tecnicamente calculados los recursos a recibir por concepto de estampilla, por lo que estan sin considerar en el marco economico, financiero y presupuestal de mediano y largo plazo</t>
  </si>
  <si>
    <t>La División Financiera calculaba la proyección de ingresos de estampillas basado en el promedio historico anual de recaudo, sin tener encuenta las fomulas de proyección de recursos.
Estos ingresos se certificaban a la Oficina de Planeación quienes son los encargados de registrarlos en el Marco económico, financiero y presupuestal de Mediano y largo plazo.</t>
  </si>
  <si>
    <t xml:space="preserve">Aplicar las formulas en la proyección de los recursos de Estampilla, según la normatividad. (Índice deflactor= (1+inflación anual) *índice deflacionario año anterior
Valor constante= precios corrientes/Índice deflactor) y certificar a la Oficina de Planeación para que sean incluidos en el MEFP </t>
  </si>
  <si>
    <t xml:space="preserve">
implementación de las nuevas formulas para el cálculo de la proyección de la Estampilla</t>
  </si>
  <si>
    <t>Marco Económico de Mediano Plazo- MEMP</t>
  </si>
  <si>
    <t>Profesional Especializado División Financiera
Jefe Oficina de Planeación</t>
  </si>
  <si>
    <t>Certificación de proyección de recursos</t>
  </si>
  <si>
    <t>Procedimiento PE-GA-5.2-PR-13 Facturación y Recaudo estampilla Pro Universidad del Cauca V1
Intructivo PA-GA-5.2-IN-2 Cálculo de recaudos por Estampilla Universidad del Cauca V1. 
Marco Económico y Financiero de Mediano Plazo- MEMP  2021.
Oficio 5.2.1025 del 2020 de certificación recursos estampilla del 2020 y proyección de los recursos estampilla de la vigencia 2021.
Banner Lvmen-  proceso Gestión Administrativa y Financiera- Subproceso  Gestión Financiera: 
http://www.unicauca.edu.co/prlvmen/subprocesos/gesti%C3%B3n-financiera</t>
  </si>
  <si>
    <r>
      <rPr>
        <sz val="11"/>
        <color theme="1"/>
        <rFont val="Arial"/>
        <family val="2"/>
      </rPr>
      <t xml:space="preserve">Con oficio 5.2-52.2/030 del 21/06/2021, la División de Gestión Financiera remite las evidencias.
</t>
    </r>
    <r>
      <rPr>
        <b/>
        <sz val="11"/>
        <color theme="1"/>
        <rFont val="Arial"/>
        <family val="2"/>
      </rPr>
      <t>OCI:</t>
    </r>
    <r>
      <rPr>
        <sz val="11"/>
        <color theme="1"/>
        <rFont val="Arial"/>
        <family val="2"/>
      </rPr>
      <t xml:space="preserve"> Verificada la información se constata la incorporación de los recursos estampilla en el Marco Económico y Financiero de Mediano Plazo
</t>
    </r>
  </si>
  <si>
    <t xml:space="preserve">La actividad presenta efectividad del 50%, por: 
1. Promedio eficacia y eficiencia 50%: La actividad se cumplió en 100%, pero no se cumplió dentro del tiempo programado.
2. Gestión del 50%: Se verifica la actualización del procedimiento de recaudo de estampilla, respecto de los índices para el cálculo.  
3. Impacto: Sin evidencias para  evaluar el impacto, no se evalúa debido a que éste hallazgo se cerró en seguimientos anteriores al inicio de la valoración de efectividad por la OCI. </t>
  </si>
  <si>
    <t xml:space="preserve">la proyección de recaudos presentada por la División Financiera no aplica el concepto de "precios constantes 2006" como lo dispone la ordenanza, lo que lleva a sub-estimar la proyección presupuestal de cada vigencia </t>
  </si>
  <si>
    <t>La División Financiera registraba los ingresos de estampillas a precios corrientes, sin tener encuenta que se debian registrar a precios constantes 2006.</t>
  </si>
  <si>
    <t>Registrar en la División Financiera contablemente el recaudo de la estampilla a precios constantes del 2006</t>
  </si>
  <si>
    <t xml:space="preserve">
Revisar, ajustar, socializar e implementar  el nuevo procedimiento de registro</t>
  </si>
  <si>
    <t>Sistema de información Financiero actualizado</t>
  </si>
  <si>
    <t>Profesional Universitario Tecnico Administrativo</t>
  </si>
  <si>
    <t>Trimestral</t>
  </si>
  <si>
    <t>Nota Bancaria y Estados Financieros</t>
  </si>
  <si>
    <t xml:space="preserve">Notas contables  No. D900-00202000093 y No. D900-00202000094 del 31/12/2020
Registro Excel de actualización del cálculo de recaudo por estampillas a precios constantes 2006- 2020.
</t>
  </si>
  <si>
    <t xml:space="preserve">Mediante oficio 5.2-52.2/031 del 24/06/2021, la División de  Gestión Financiera remitió las evidencias.
OCI: La valoración de las evidencias permite asignar el 100% de avance de cumplimiento de la acción.  </t>
  </si>
  <si>
    <t xml:space="preserve">La actividad presenta efectividad del 73%, por: 
1. Promedio eficacia y eficiencia 50%: La actividad se cumplió en 100%, pero no se cumplió dentro del tiempo programado.
2. Gestión del 100%: Se verifica la actualización del procedimiento de recaudo de estampilla, y actualización del cálculo de recaudo por estampillas a precios constantes 2006- 2020. 
3. Impacto 70%: La División de Gestión Financiera con oficio 5.2-52.2/0174 del 30/06/2023 remitió la propuesta de ajuste del procedimiento de Reconocimiento, Registro y Control del recaudo de la estampilla Universidad del Cauca, y los registros de su implementación previa publicación. </t>
  </si>
  <si>
    <t xml:space="preserve">El mapa de riesgos no define riesgos que puedan afectar la gestión de los recursos financieros universitarios </t>
  </si>
  <si>
    <t xml:space="preserve">No se realizó la identifcación de los riesgos de gestión y corrupción a los recursos de estampilla 
</t>
  </si>
  <si>
    <t xml:space="preserve">Gestionar los riesgos de gestión y corrupción a los recursos de estampilla de acuerdo a la normatividad vigente </t>
  </si>
  <si>
    <t xml:space="preserve">Indentificar, valorar y realizar acciones de control a los riesgos  de gestión y corrupción </t>
  </si>
  <si>
    <t xml:space="preserve"> Riesgos de gestión y corrupción gestionados </t>
  </si>
  <si>
    <t>Profesional Universitario- Contratista</t>
  </si>
  <si>
    <t xml:space="preserve">Documento Matriz de riesgos de gestión </t>
  </si>
  <si>
    <t>1.1. Base de datos Estampilla 01-07 al 05-12-2022
1.2. Respuesta integración y sistematización sistemas estampillas
2.1. Guía para legalización de avances
2.2. Proyecto de reforma parcial a R726 - Propuesta definitiva
2.3. Oficio 5-9.8 1092 Solicitud revisión R 726
2.4. oficio 5-92.8_1092
2.5. Solicitud de información Resolución R-723 de 2013</t>
  </si>
  <si>
    <t xml:space="preserve">La OCI con oficio 2.6-52.18/248 programó el seguimiento a las actividades del plan de mejoramiento de estampillas a cargo de la  División de Gestión Financiera, la que se realizó el 06/12/2022; donde se evidenció avance respecto de los controles:
"Integración del sistema web service entre la Universidad del Cauca y la Gobernación del Cauca para automatización del recaud"
Con oficio 5-84/890 del 05/12/2022, el Profesional Universitario de las Tics y la Técnica Administrativa de la Vicerrectoría Administrativa, cretificaron que se realizó la integración del Sistema Web service con el Squid, e informaron que actualmente el sistema Squid cuenta con la debida parametrización en cuanto a: Creación de Tercero, creación de Factura y recaudo de pago, y que ésta se está reportando al sistema financiero", dando así cumplimiento a la gestión. 
"Modificación de la guía de legalización de avances colocando sanciones pertinentes al no legalizar los avances en los períodos establecidos"
Se presentó la propuesta de modificación de la guía de legalización de avances, en la que se evidencia la nota de advertencia sobre las repercusiones de no legalizar los avaces, sin embargo se sujeta a la aprobación y formalización de la R 726, y la formalización de la guía. 
OCI: Conforme lo anterior, se evidenció el cumplimiento de la gestión de uno de los riesgos, y las gestiones realizadas para el control de otro riesgo,  por lo que el avance pasó del 50% al 90%, el 10% restante se sujeta a la aprobación y formalización de la R 726, y la formalización de la guía de legalización de avances. </t>
  </si>
  <si>
    <t xml:space="preserve">
La actividad presenta efectividad del 58%, por: 
1. Promedio eficacia y eficiencia 48%: La actividad se encuentra con un avance del 90%, pero está fuera del tiempo programado.
2. Gestión del 80%: En el seguimiento 2022- 2 se evidenció la identificación de los riesgos, pero falta la gestión de uno de ellos. 
3. Impacto 50%: En el seguimiento 2023- 2 se revisó las gestiones realizadas para el control de los riesgos identificados, sin embargo, no se evidenció el cumplimiento de éstos.</t>
  </si>
  <si>
    <t xml:space="preserve">Los lineamientos del estatuto general de planeación se aplican escasamente en la gestión, y no se visibiliza el apoyo en herramientas efectivas </t>
  </si>
  <si>
    <t xml:space="preserve">Desconocimiento en la aplicación del acuerdo 030 de 2009.
</t>
  </si>
  <si>
    <t xml:space="preserve">Aplicación del Acuerdo 030 de 2009 acorde a las normatividad vigente para estos recursos </t>
  </si>
  <si>
    <t xml:space="preserve">Aplicación del Estatuto General de Planeación y Creacion de Formato para el Seguimiento a los Recursos de Estampilla </t>
  </si>
  <si>
    <t xml:space="preserve">Aplicación de Acuerdo y Formato creado e implementado </t>
  </si>
  <si>
    <t>Jefe de planeación y Equipo de Apoyo OPDI</t>
  </si>
  <si>
    <t xml:space="preserve">Formato Creado e Implementado </t>
  </si>
  <si>
    <t>En consenso con el Proceso evaluado, se determinó que la accción de mejora se encuentra inmersa en las ya previstas para las observaciones determinadas en el mismo plan, en consecuencia se sustrae del Plan de Mejoramiento.</t>
  </si>
  <si>
    <t xml:space="preserve">VICERRECTORIA DE CULTURA Y BIENESTAR- DIVISION DE GESTION DE SALUD INTEGRAL Y DESARROLLO HUMANO </t>
  </si>
  <si>
    <t>14/07/2022</t>
  </si>
  <si>
    <t>DIEGO HUAMAN CANENCIO - OLGA LUCÍA CAMACHO M</t>
  </si>
  <si>
    <t>INFORME 2.6-52.18/09 DE 2022 DE EVALUACIÓN AL PROCEDIMIENTO DE RELIQUIDACIÓN DE MATRÍCULAS – UNIVERSIDAD DEL CAUCA.</t>
  </si>
  <si>
    <t>15/11/2023</t>
  </si>
  <si>
    <t xml:space="preserve">Formulación </t>
  </si>
  <si>
    <t>Se requiere plan de mejora acorde a las observaciones y recomendaciones del INFORME 2.6-52.18/09 DE 2022 DE EVALUACIÓN AL PROCEDIMIENTO DE RELIQUIDACIÓN DE MATRÍCULAS – UNIVERSIDAD DEL CAUCA.</t>
  </si>
  <si>
    <t>Las normas referidas a la reliquidación de matrícula financiera AS 052/2009 (Reglamento Interno de Cartera) y AS 052 del 2016 expedido con motivo de la Sentencia T-277 del 2016, no armonizan con los criterios de liquidación previstos en el AS 049 de 1998, con lo que los efectos de valoración frente a las condiciones socioeconómicas cambiantes, desde la figura del descuento, adquieren una connotación que dista del objeto del fallo de tutela.</t>
  </si>
  <si>
    <t>Desarticulación de norma vigente (AS 052/2009 Reglamento Interno de Cartera) y AS 052 del 2016) con los  procedimientos internos y externos para la reliquidación de matrícula financiera</t>
  </si>
  <si>
    <t xml:space="preserve">Ajustar la normatividad vigente relacionada con el proceso de reliquidación de matrícula </t>
  </si>
  <si>
    <t xml:space="preserve">Revisar la normatividad  interna existente para identificar aspectos discrepantes entre estas y el proceso. </t>
  </si>
  <si>
    <t xml:space="preserve">Reuniones de revisión </t>
  </si>
  <si>
    <t xml:space="preserve"> VICERRECTORIA ADMINISTRATIVA y DIVISION DE GESTION DE SALUD INTEGRAL Y DESARROLLO HUMANO</t>
  </si>
  <si>
    <t>Mensual</t>
  </si>
  <si>
    <t xml:space="preserve">Actas de reunión </t>
  </si>
  <si>
    <t>Con oficio 7.4-52.5/416 del 05/12/2023 la División de gestión integral y desarrollo humano presentó:
Actas de reunión 7.4-1.56/99 del 26/10/2023 y 7.4-1.56/127 del 03/11/2023 de asunto: revisión de la  proyección del nuevo Acuerdo de Reliquidación de matrícula.</t>
  </si>
  <si>
    <t>Se cuenta con evidencia de las sesiones del Comité de reliquidación de matrículas, donde mencionan la revisión  de las Leyes y reglamentos que se encuentran en la consideración del acuerdo, a fin de tener en cuenta las últimas tutelas frente al Acuerdo de reliquidación vigente.</t>
  </si>
  <si>
    <t>Revisar la normatividad externa vigente para incluir aspectos aplicables al proceso de reliquidación de matrícula en la Universidad del Cauca</t>
  </si>
  <si>
    <t>Acta de reunión No. 7.4-1.56/14 del 17 de febrero de 2023, asunto: Revisión información Universidades con reliquidación de matricula 
Acta de reunión No. 7.4-1.56/24 del 24 de febrero de 2023, Asunto: Revisión información Universidades con reliquidación de matricula y Aspectos a tener en cuenta para Proyección Acuerdo Reliquidación</t>
  </si>
  <si>
    <t>Se evidenció las reuniones conjuntas con la Vicerrectoria Administrativa donde se revisó la normatividad externa, y aspectos a considerar de otras instituciones donde se aplican procedimientos de reliquidación de matriculas.
Actas sin firmas</t>
  </si>
  <si>
    <t>Efectividad del 75%,
Se realizaron las reuniones en el tiempo programado.
Gestión 100%, las reuniones realizadas evidencian el análisis de los factores externos que pueden impactar al procedimiento de reliquidación de matrículas.
Impacto 25%, aun no se consolida el ajuste a la normatividad interna de reliquidación de matrículas.</t>
  </si>
  <si>
    <t>Desactualización de las normas internas que regulan las liquidaciones de matrícula financiera, respecto de las prescripciones de la Ley 2155 de 2021- de Inversión Social- y el Decreto Legislativo 662 de 2020 por el cual se crea el Fondo Solidario para la Educación</t>
  </si>
  <si>
    <t>Desarticulación de norma vigente ( AS 052/2009 (Reglamento Interno de Cartera) y AS 052 del 2016) con los  procedimientos internos y externos para la reliquidación de matrícula financiera</t>
  </si>
  <si>
    <t>Proyectar propuesta de nuevo acuerdo para la reliquidación de matrícula.</t>
  </si>
  <si>
    <t>Propuesta de nuevo acuerdo realizada</t>
  </si>
  <si>
    <t xml:space="preserve">Documento propuesta </t>
  </si>
  <si>
    <t>Con oficio 7.4-52.5/416 del 05/12/2023 la División de gestión integral y desarrollo humano presentó:
Acta de reunión 7.4-1.56/131 del 17/11/2023 y  7.4-1.56/139 del 29/11/2023
Proyeción nuevo Acuerdo para Reliquidacion de matricula redactado por la  la División de Gestión de Salud Integral y Desarrollo Humano.
Correo de Proyecto Estatuto de Reliquidación del valor de los derechos básicos de matrículafinanciera neviado a Vicerrectoría Administrativa, Vicerrectoría Académica y Oficina asesora Jurídica.</t>
  </si>
  <si>
    <t>Se realizó proyección del nuevo Acuerdo para reliquidación de matricula desde la División de Gestión de Salud Integral y Desarrollo Humano.
La División de gestión de salud integral y desarrollo humano manifestó dificultad para realizar reuniones en articulación con la Vicerrectoria Administrativa, por tanto se avanzo en el documento para ser retroalimentado posteriormente.</t>
  </si>
  <si>
    <t xml:space="preserve">Revisar y ajustar  la propuesta de nuevo acuerdo para la requilidación de matrícula. </t>
  </si>
  <si>
    <t>Propuesta de acuerdo revisada</t>
  </si>
  <si>
    <t>OFICINA JURIDICA</t>
  </si>
  <si>
    <t>Documento  propuesta ajustado</t>
  </si>
  <si>
    <t>Con oficio 7.4-52.5/416 del 05/12/2023 la División de gestión integral y desarrollo humano presentó:
Documento proyecto modificación Acuerdo 052 de 2016 del 17/04/2023 revisado con el Vicerrector Administrativo</t>
  </si>
  <si>
    <t>Sin evidencia de la revisión por la Oficina Asesora Jurídica, La División de gestión de salud integral y desarrollo humano manifestó dificultad para recibir la retroalimentación por parte de la Vicerrectoría Administrativa.</t>
  </si>
  <si>
    <t xml:space="preserve">Presentar la propuesta  para aprobación en Comité de reliquidación de matrícula </t>
  </si>
  <si>
    <t xml:space="preserve">Reunión para aprobación </t>
  </si>
  <si>
    <t xml:space="preserve">COMITÉ DE RELIQUIDACION </t>
  </si>
  <si>
    <t>Documento aprobado por Comité Reliquidación</t>
  </si>
  <si>
    <t xml:space="preserve">Con oficio 7.4-52.5/416 del 05/12/2023 la División de gestión integral y desarrollo humano presentó:
Correo de Proyecto Estatuto de Reliquidación del valor de los derechos básicos de matrículafinanciera neviado a Vicerrectoría Administrativa, Vicerrectoría Académica y Oficina asesora Jurídica.
Actas de reunión 7.4-1.56/99 del 26/10/2023, 7.4-1.56/127 del 03/11/2023, 7.4-1.56/131 del 17/11/2023 y  7.4-1.56/139 del 29/11/2023 </t>
  </si>
  <si>
    <t>La propuesta de modificación se encuentra en revisión por el Comité de reliquidación de matrícula</t>
  </si>
  <si>
    <t xml:space="preserve">Presentar el acuerdo al Consejo de Cultura y Bienestar y demás entes corporativos </t>
  </si>
  <si>
    <t>Propuesta de acuerdo aprobada</t>
  </si>
  <si>
    <t>COMITÉ DE RELIQUIDACIÓN
Y VICERRECTOR DE CULTURA Y B.</t>
  </si>
  <si>
    <t>Documento aprobado por Consejo de Cultura</t>
  </si>
  <si>
    <t xml:space="preserve">Con oficio 7.4-52.5/416 del 05/12/2023 la División de gestión integral y desarrollo humano presentó:
El acuerdo no ha sido presentado al Consejo de Cultura y Bienestar y demás entes corporativos, se requiere aprobacion por parte del comité de reliquidación de matricula.  </t>
  </si>
  <si>
    <t>Sin avance</t>
  </si>
  <si>
    <t>Presentar el proyecto de Acuerdo ante el  Consejo Superior</t>
  </si>
  <si>
    <t xml:space="preserve">Acuerdo Superior aprobado </t>
  </si>
  <si>
    <t>CONSEJO DE CULTURA Y BIENESTAR
RECTOR</t>
  </si>
  <si>
    <t xml:space="preserve">Documento aprobado </t>
  </si>
  <si>
    <t>No se ha realizado presentación de la propuesta al Consejo Superior</t>
  </si>
  <si>
    <t>La reliquidación de matrícula opera sin lineamientos documentados en las fases del ciclo PHVA, con ausencia de actividades, responsables y puntos de control, además de criterios para el desarrollo integral y mejora del procedimiento.</t>
  </si>
  <si>
    <t>No se cuenta con lineamientos estructurales para el procedimiento de reliquidación de matrícula</t>
  </si>
  <si>
    <t>Estructurar los  lineamientos para el procedimiento de reliquidación de matrícula</t>
  </si>
  <si>
    <t xml:space="preserve">Documentar el procedimiento que oriente y facilite la operación de la Reliquidación de Matrículas con base en el ciclo PHVA. 
</t>
  </si>
  <si>
    <t>Procedimiento documentado e implementado</t>
  </si>
  <si>
    <t xml:space="preserve">VICERRECTORIA DE CULTURA Y BIENESTAR - DIVISION DE GESTION DE SALUD INTEGRAL y DESARROLLO HUMANO
VICERRECTORÍA ADMINISTRATIVA </t>
  </si>
  <si>
    <t>Con oficio 7.4-52.5/416 del 05/12/2023 la División de gestión integral y desarrollo humano presentó:
Desde la Division de Gestión de Salud Integral y Desarrollo Humano se tiene elaborada una propuesta para el procedimiento de reliquidación de matricula, pero este se encuentra sujeto a la aprobación de la proyección del nuevo acuerdo.
Procedimiento reliquidación de matrícula 14/04/2023</t>
  </si>
  <si>
    <t>La propuesta de procedimiento reune elementos para la operación de las reliquidaciones de matrícula, sin embargo, debe ajustarse al nuevo Acuerdo.</t>
  </si>
  <si>
    <t>Carencia de instrumentos documentados para la presentación de la información unificada, precisa y suficiente, relativa a los requisitos para el estudio socioeconómico</t>
  </si>
  <si>
    <t>No se cuenta con instrumentos para la presentación y seguimiento de los requisitos para la reliquidación de matrícula</t>
  </si>
  <si>
    <t>Generar instrumentos para la presentación y seguimiento de los requisitos para  la reliquidación de matrícula</t>
  </si>
  <si>
    <t xml:space="preserve">Elaborar los instrumentos necesarios para operativizar el procedimiento de reliquidación de matrícula </t>
  </si>
  <si>
    <t>Instrumentos elaborados e implementados</t>
  </si>
  <si>
    <t>No se han elaborado los instrumentos que se requieren para el procedimiento de Reliquidación de matricula.</t>
  </si>
  <si>
    <t>Las solicitudes de reliquidación de matrícula financiera no se articulan directamente con el Sistema PQRSF en la presentación y términos de respuesta.</t>
  </si>
  <si>
    <t>No se articula el Acuerdo Superior 052 del 2016 con los lineamientos del Sistema PQRSF.</t>
  </si>
  <si>
    <t xml:space="preserve">Definir criterios de articulación entre los procedimientos de PQRSF y la reliquidación de matricula. </t>
  </si>
  <si>
    <t xml:space="preserve">Revisar de los procedimientos correspondientes al sistema PQRSF y su articulación en el procedimiento de reliquidación de matrícula. </t>
  </si>
  <si>
    <t xml:space="preserve"> Criterios revisados  de los procedimientos PQRSF y Reliquidaciones </t>
  </si>
  <si>
    <t xml:space="preserve">VICERRECTORIA DE CULTURA Y BIENESTAR - DIVISION DE GESTION DE SALUD INTEGRAL y DESARROLLO HUMANO  y SECRETARIA GENERAL </t>
  </si>
  <si>
    <t>Criterios establecidos</t>
  </si>
  <si>
    <t>Oficio No.7.4-92.8/92 del 06 de marzo de 2023, solicitud de reunión con Secreatria General.
Acta de reunion No.01 del 22 de marzo de 2023, asunto: socialización del trámite de PQRSF institucional</t>
  </si>
  <si>
    <t>En la reunión llevado a cabo con Secreatria General se despejaron diferentes dudas a fin de lograr articulación con el sistema de PQRSF,
Acta sin identificación de la seríe y subserie conforme a la TRD</t>
  </si>
  <si>
    <t>Efectividad del 58%,
Se revisaron los procedimientos correspondientes al sistema PQRSF y se determinó criterios para su articulación en el procedimiento de reliquidación de matrícula.
Gestión 50%, no se han documentado los criterios del sistema de PQRSF a incluir en el procedimiento de reliquidación de matrículas
Impacto 25%, procedimiento sin documentar.</t>
  </si>
  <si>
    <t xml:space="preserve">Incluir dentro de los lineamientos del procedimiento de reliquidación de matrícula, los criterios de articulación con el sistema de PQRSF. </t>
  </si>
  <si>
    <t>Procediimiento de reliquidación con los lineamientos del Sistema PQRSF.</t>
  </si>
  <si>
    <t>Procedimiento de reliquidación con líneamientos de Sistema PQRSF</t>
  </si>
  <si>
    <t>Procedimiento reliquidación de matrícula 14/04/2023</t>
  </si>
  <si>
    <t>Pendiente la revisión de criterios del Sistema PQRSF para articular al procedimiento</t>
  </si>
  <si>
    <t>En el desarrollo del procedimiento no se han gestionado los posibles escenarios de riesgos de gestión y corrupción</t>
  </si>
  <si>
    <t>Falta de identificación de los posibles riesgos que impactan la operación de las Reliquidaciones de Matrícula.</t>
  </si>
  <si>
    <t>Gestionar e incluir en el mapa de riesgos Institucional los posibles riesgos en la reliquidación de matrícula financiera.</t>
  </si>
  <si>
    <t>Incluir en el mapa de riesgos Institucional  los posibles riesgos relacionados con la reliquidación de matrícula.</t>
  </si>
  <si>
    <t xml:space="preserve">Mapa de riesgo actualizado </t>
  </si>
  <si>
    <t>VICERRECTORIA DE CULTURA Y BIENESTAR - DIVISION DE GESTION DE SALUD INTEGRAL y DESARROLLO HUMANO  , PLANEACION</t>
  </si>
  <si>
    <t>Matriz de riesgo del proceso</t>
  </si>
  <si>
    <t>No se realizó la inclusión en el mapa de riesgos Institucional.</t>
  </si>
  <si>
    <t>Pendiente gestionar los riesgos para el mapa de riesgos 2024.</t>
  </si>
  <si>
    <t>La impresión del archivo de gestión que soporta la ejecución del procedimiento es parcial, y presenta debilidades en el cumplimiento de las normas de archivo.</t>
  </si>
  <si>
    <t xml:space="preserve">Falta de adherencia a los procedimientos de archivo </t>
  </si>
  <si>
    <t xml:space="preserve"> Organizar el archivo de gestión del procedimiento de reliquidación con base en las normas internas y extrenas de gestión documental.</t>
  </si>
  <si>
    <t>Clasificar los tipos documentales resultantes de la operación del procedimiento de reliquidación de matriculas segúin la Tabla de Retención Documental.</t>
  </si>
  <si>
    <t xml:space="preserve">Porcentaje de tipos documentales clasificados </t>
  </si>
  <si>
    <t>DIVISION DE GESTION DE SALUD INTEGRAL y DESARROLLO HUMANO</t>
  </si>
  <si>
    <t>Tipos documentales clasificados</t>
  </si>
  <si>
    <t xml:space="preserve">Con oficio 7.4-52.5/416 del 05/12/2023 la División de gestión integral y desarrollo humano informó:
El procedimiento de reliquidación de matricula no se encuentra incluido en la Tabla de Retención Documental, no obstante, los tipos documentales resultantes tales como actas de reunión y oficios de respuesta a estudiante se efectuan desde los comprendidos en la tabla de la División de Gestión de Salud Integral y Desarrollo Humano; asi pues para actas 7.4 - 1.56  y para oficios de respuesta 7.4 - 52.5.  Por otro lado es preciso indicar que en reunión sostenida con Secretaria General, se aclaro que este procedimiento no podia ser incluido en la División de Gestión de Salud Integral y Desarrollo Humano pues  es un proceso que pertenece a Vicerrectoria Administrativa. </t>
  </si>
  <si>
    <t>Organizar el archivo de gestión  con base en las normas internas y extrenas de gestión documental.</t>
  </si>
  <si>
    <t>Porcentaje del Archivo de gestión organizado</t>
  </si>
  <si>
    <t>Archivo de gestión Organizado</t>
  </si>
  <si>
    <t xml:space="preserve">Con oficio 7.4-52.5/416 del 05/12/2023 la División de gestión integral y desarrollo humano informó:
El archivo de gestión documental, se encuentra organizado según las normas en la Secretaria de la División de Gestión de Salud Integral y Desarrollo Humano,  conforme las indicaciones de Secreatria General. </t>
  </si>
  <si>
    <t>Centro de Gestión de la Calidad y Acreditación Institucional</t>
  </si>
  <si>
    <t xml:space="preserve">INFORME 2.6-52.18/18 de 2018 DE SEGUIMIENTO AL PLAN DE GESTIÓN AMBIENTAL DE LA UNIVERSIDAD DEL CAUCA Y SU EFECTIVIDAD EN EL MANEJO DE RESIDUOS SÓLIDOS </t>
  </si>
  <si>
    <t>Cierre</t>
  </si>
  <si>
    <t>Con acta 2.6-1.60/23 del 01/12/2022 se concluye el cierre del PM, con valoración de efectividad del 79% con actividades pendientes.</t>
  </si>
  <si>
    <t>Definir nueva estructura administrativa para la Gestión Ambiental : El Comité de Gestión Ambiental de la Universidad no está operando ni atendiendo sus funciones de acuerdo a los términos establecidos en la Resolución R-391 de 2010, ni realiza las sesiones periódicas; al evidenciar que durante el año 2013 sólo se reunieron tres veces en el segundo semestre.</t>
  </si>
  <si>
    <t>Los propósitos de la Universidad no se orientan a la transversalidad de lo ambiental en las acciones misionales y de apoyo  para que se garantice una verdadera y dinámica gestión institucional fundamentada en el cuidado y sostenibilidad del entorno.</t>
  </si>
  <si>
    <t>Establecer, aprobar y socializar la  Política Ambiental Institucional.</t>
  </si>
  <si>
    <t xml:space="preserve">Ajustar y aprobar documento Política de Gestión Ambiental Institucional. </t>
  </si>
  <si>
    <t>Acto administrativo adoptado.</t>
  </si>
  <si>
    <t xml:space="preserve">
Director Centro de Gestión de la Calidad y la Acreditación Institucional - Rector - Consejo Superior</t>
  </si>
  <si>
    <t xml:space="preserve">Actos administrativos y planes operativos que ejecuten lo dispuesto en la Política Ambiental Institucional </t>
  </si>
  <si>
    <t>Acuerdo Superior 058 de 2018.</t>
  </si>
  <si>
    <t>Se adoptó la Politica de Gestión Ambiental de la Universidad del Cauca, que orienta el campo de aplicación, definiciones, objetivos (4), y líneas estratégicas (5).</t>
  </si>
  <si>
    <r>
      <t xml:space="preserve">Actividad con efectividad del 100%
</t>
    </r>
    <r>
      <rPr>
        <b/>
        <sz val="11"/>
        <color theme="1"/>
        <rFont val="Arial"/>
        <family val="2"/>
      </rPr>
      <t>Eficaciá y eficiencia de 100%</t>
    </r>
    <r>
      <rPr>
        <sz val="11"/>
        <color theme="1"/>
        <rFont val="Arial"/>
        <family val="2"/>
      </rPr>
      <t xml:space="preserve">: se adoptó la politica de gestión ambiental en el tiempo programado.
</t>
    </r>
    <r>
      <rPr>
        <b/>
        <sz val="11"/>
        <color theme="1"/>
        <rFont val="Arial"/>
        <family val="2"/>
      </rPr>
      <t xml:space="preserve">Gestión: 100% </t>
    </r>
    <r>
      <rPr>
        <sz val="11"/>
        <color theme="1"/>
        <rFont val="Arial"/>
        <family val="2"/>
      </rPr>
      <t xml:space="preserve"> La Política de Gestión Ambiental define los criterios para el fomento de un campus sustentable, con los objetivos y líneas estratégicas.
</t>
    </r>
    <r>
      <rPr>
        <b/>
        <sz val="11"/>
        <color theme="1"/>
        <rFont val="Arial"/>
        <family val="2"/>
      </rPr>
      <t xml:space="preserve">Impacto: 100%, </t>
    </r>
    <r>
      <rPr>
        <sz val="11"/>
        <color theme="1"/>
        <rFont val="Arial"/>
        <family val="2"/>
      </rPr>
      <t xml:space="preserve">la Politica es el referente de operación en la Gestión Ambiental Institucional. Aun no se ha determinado la necesidad de ajuste.
</t>
    </r>
  </si>
  <si>
    <t xml:space="preserve">Socializar y sensibilizar a la comunidad universitaria acerca de la importancia de adoptar la Política de Gestión Ambiental Institucional .
</t>
  </si>
  <si>
    <t>Número de herramientas diseñadas y aplicadas para socialización Política Ambiental Institucional.</t>
  </si>
  <si>
    <t>Director Centro de Gestión de la Calidad y Acreditación Institucional
Director Centro de Gestión de las Comunicaciones</t>
  </si>
  <si>
    <t>Información divulgada a través de Medios institucionales</t>
  </si>
  <si>
    <t xml:space="preserve">Acuerdo Superior 058 de 2018, Acta 01 del 15/05/2019, Acta 02 del 23/05/2019, Correo electrónico (24/10/2019), invitación y presentación Semana del Turismo Sostenible (19/05/2019). 
La Universidad del Cauca por medio del Acuerdo 058 de 2018 adoptó la Política Ambiental Institucional. El equipo operativo de Gestión Ambiental realizó jornadas de socialización de la Política Ambiental dirigidas a: Área de Mantenimiento, Coordinación del Programa de Ingeniería Ambiental y estudiantes del Programa Turismo. 
Se informó respecto a la reactivación y actualización del Blog de Gestión Ambiental del portal web institucional. La OCI recomienda revisar los siguientes aspectos:  
La dirección URL http://htttp.unicauca.edu.co//ublogs.unicauca.edu.co/gestionambiental, no re direcciona al Blog. 
La ubicación del blog en el programa Lvmen carece de visibilidad, lo que podría afectar su propósito como espacio de comunicación de la gestión ambiental universitaria. Las econotas relacionadas con la disposición de residuos, política cero papel y ahorro de energía presentan exceso de texto, por lo que se recomienda atender las orientaciones emitidas en el marco de las reuniones realizadas para la planificación de la campaña ambiental. </t>
  </si>
  <si>
    <t>Se desarrolló las socializaciones a traves de los medios institucionales y correos masivos, con alcance a programas acádemicos  y estudiantes de pregrado.</t>
  </si>
  <si>
    <r>
      <t xml:space="preserve">Actividad con efectividad del 99%
</t>
    </r>
    <r>
      <rPr>
        <b/>
        <sz val="11"/>
        <color theme="1"/>
        <rFont val="Arial"/>
        <family val="2"/>
      </rPr>
      <t>Eficacia y eficiencia: 97%</t>
    </r>
    <r>
      <rPr>
        <sz val="11"/>
        <color theme="1"/>
        <rFont val="Arial"/>
        <family val="2"/>
      </rPr>
      <t xml:space="preserve">, se socializo la Politica de Gestión Ambiental por fuera de los tiempos programados.
</t>
    </r>
    <r>
      <rPr>
        <b/>
        <sz val="11"/>
        <color theme="1"/>
        <rFont val="Arial"/>
        <family val="2"/>
      </rPr>
      <t>Gestión: 100%</t>
    </r>
    <r>
      <rPr>
        <sz val="11"/>
        <color theme="1"/>
        <rFont val="Arial"/>
        <family val="2"/>
      </rPr>
      <t xml:space="preserve">, la socialización de la Política permite interiorizar los objetivos y lineas estratégicas  a la comunidad universitaria. 
</t>
    </r>
    <r>
      <rPr>
        <b/>
        <sz val="11"/>
        <color theme="1"/>
        <rFont val="Arial"/>
        <family val="2"/>
      </rPr>
      <t>Impacto: 100%</t>
    </r>
    <r>
      <rPr>
        <sz val="11"/>
        <color theme="1"/>
        <rFont val="Arial"/>
        <family val="2"/>
      </rPr>
      <t>, Se continua socializando la Política con infografias y presentaciones.</t>
    </r>
  </si>
  <si>
    <t xml:space="preserve">
Falta de operatividad del Comité de Gestión Ambiental, como instancia que direccione las políticas, objetivos, planes y proyectos de gestión ambiental en la Universidad del Cauca, con el fin de garantizar el cumplimiento de los mandatos normativos generales para el cuidado y sostenibilidad del entorno. </t>
  </si>
  <si>
    <t xml:space="preserve">Establecer estructura administrativa para la gestión ambiental  </t>
  </si>
  <si>
    <t xml:space="preserve">Conformar y asignar funciones a los Comités Técnico y operativo responsables de direccionar la gestión ambiental institucional. </t>
  </si>
  <si>
    <t>Comité técnico y operativo conformados 
No.Actos administrativos adoptados.</t>
  </si>
  <si>
    <t xml:space="preserve">Rector
Director Centro de Gestión de la Calidad y la Acreditación Institucional.
</t>
  </si>
  <si>
    <t>Propuesta Resolución conformación del comité técnico y operativo.</t>
  </si>
  <si>
    <t>Propuesta presentada y aprobada</t>
  </si>
  <si>
    <r>
      <t xml:space="preserve">Actividad con efectividad de 100%:
</t>
    </r>
    <r>
      <rPr>
        <b/>
        <sz val="11"/>
        <color theme="1"/>
        <rFont val="Arial"/>
        <family val="2"/>
      </rPr>
      <t>Eficacia y eficiencia: 100%,</t>
    </r>
    <r>
      <rPr>
        <sz val="11"/>
        <color theme="1"/>
        <rFont val="Arial"/>
        <family val="2"/>
      </rPr>
      <t xml:space="preserve">  se reglamentó el funcionamiento del Comité Técnico de Gestión Ambiental de la Universidad del Cauca, su conformación y funciones en correspondencia con el Acuerdo Superior 058 de 2018 sobre la Política Ambiental de la Universidad del Cauca.
</t>
    </r>
    <r>
      <rPr>
        <b/>
        <sz val="11"/>
        <color theme="1"/>
        <rFont val="Arial"/>
        <family val="2"/>
      </rPr>
      <t>Gestión: 100%,</t>
    </r>
    <r>
      <rPr>
        <sz val="11"/>
        <color theme="1"/>
        <rFont val="Arial"/>
        <family val="2"/>
      </rPr>
      <t xml:space="preserve"> se evidencia la operación del Comité para la toma de decisiones,  y aplicación de acciones tendientes al fortalecimiento de la Gestión Ambiental de la Universidad del Cauca.
</t>
    </r>
    <r>
      <rPr>
        <b/>
        <sz val="11"/>
        <color theme="1"/>
        <rFont val="Arial"/>
        <family val="2"/>
      </rPr>
      <t>Impacto: 100%,</t>
    </r>
    <r>
      <rPr>
        <sz val="11"/>
        <color theme="1"/>
        <rFont val="Arial"/>
        <family val="2"/>
      </rPr>
      <t xml:space="preserve"> Se actualizó los integrantes del Comité con Resolución R - 207 del 15/03/2022
Existe dificultad  para la asignación de horas labor de docente ocasional, quien participa activamente.</t>
    </r>
  </si>
  <si>
    <t xml:space="preserve">Proponer el acto administrativo de conformación y gestionar su aprobación por la Rectoría. 
</t>
  </si>
  <si>
    <t>Resolución R. 0342 de 2020 (Por la cual se reglamenta el Comité Técnico de Gestión Ambiental de la Universidad del Cauca)</t>
  </si>
  <si>
    <t>Reglamenta el funcionamiento del Comité Técnico de Gestión Ambiental de la Universidad del Cauca, su conformación y funciones en correspondencia con el Acuerso superior 058/2018.</t>
  </si>
  <si>
    <t xml:space="preserve">Falta de operatividad del Comité de Gestión Ambiental, como instancia que direccione las políticas, objetivos, planes y proyectos de gestión ambiental en la Universidad del Cauca, con el fin de garantizar el cumplimiento de los mandatos normativos generales para el cuidado y sostenibilidad d+C4el entorno. </t>
  </si>
  <si>
    <t xml:space="preserve">
Desarrollar la fase de discusión y definición de la instancia responsable del direccionamiento  de la gestión ambiental Institucional.
</t>
  </si>
  <si>
    <t>Conforma el El Comité de Gestión Ambiental:
El Director del Centro de Gestión de la Calidad y Acreditación Institucional
El vicerrector de Cultura y Bienestar 
Cinco docentes de planta, uno por cada línea estratégica ambiental
Un profesional universitario con formación en Educación Ambiental adscrito al Centro de Gestión de la Calidad y Acreditación Institucional 
Define las funciones del Comité, terminos de operación y la creación de un Equipo Operativo integrado por profesionales con competencias en el área ambiental</t>
  </si>
  <si>
    <r>
      <t xml:space="preserve">Actividad con efectividad de 100%:
</t>
    </r>
    <r>
      <rPr>
        <b/>
        <sz val="11"/>
        <color theme="1"/>
        <rFont val="Arial"/>
        <family val="2"/>
      </rPr>
      <t>Eficacia y eficiencia: 100%,</t>
    </r>
    <r>
      <rPr>
        <sz val="11"/>
        <color theme="1"/>
        <rFont val="Arial"/>
        <family val="2"/>
      </rPr>
      <t xml:space="preserve">  se reglamentó el funcionamiento del Comité Técnico de Gestión Ambiental de la Universidad del Cauca, su conformación y funciones en correspondencia con el Acuerdo Superior 058 de 2018 sobre la Política Ambiental de la Universidad del Cauca.
</t>
    </r>
    <r>
      <rPr>
        <b/>
        <sz val="11"/>
        <color theme="1"/>
        <rFont val="Arial"/>
        <family val="2"/>
      </rPr>
      <t>Gestión: 100%,</t>
    </r>
    <r>
      <rPr>
        <sz val="11"/>
        <color theme="1"/>
        <rFont val="Arial"/>
        <family val="2"/>
      </rPr>
      <t xml:space="preserve"> se evidencia la operación del Comité para la toma de decisiones,  y aplicación de acciones tendientes al fortalecimiento de la Gestión Ambiental de la Universidad del Cauca.
</t>
    </r>
    <r>
      <rPr>
        <b/>
        <sz val="11"/>
        <color theme="1"/>
        <rFont val="Arial"/>
        <family val="2"/>
      </rPr>
      <t>Impacto: 100%,</t>
    </r>
    <r>
      <rPr>
        <sz val="11"/>
        <color theme="1"/>
        <rFont val="Arial"/>
        <family val="2"/>
      </rPr>
      <t xml:space="preserve"> Se actualizó los integrantes del Comité con Resolución R - 207 del 15/03/2022, y se evidencian actas de reunión del Comité.
Existe dificultad  para la asignación de horas labor de docente ocasional, quien participa activamente.</t>
    </r>
  </si>
  <si>
    <t xml:space="preserve">Falta de operatividad del Comité de Gestión Ambiental, como instancia que direccione las políticas, objetivos, planes y proyectos de gestión ambiental en la Universidad del Cauca, con el fin de garantizar el cumplimiento de los mandatos normativos generales para el cuidado y sostenibilidad del entorno. </t>
  </si>
  <si>
    <t xml:space="preserve">Elaborar propuesta de resolución rectoral de constitución de nueva estructura administrativa para el tema ambiental.
</t>
  </si>
  <si>
    <t>Resolución define Comité de gestión Ambiental y sus funciones  y conformación de equipo operativo</t>
  </si>
  <si>
    <r>
      <t xml:space="preserve">Actividad con efectividad de 100%:
</t>
    </r>
    <r>
      <rPr>
        <b/>
        <sz val="11"/>
        <color theme="1"/>
        <rFont val="Arial"/>
        <family val="2"/>
      </rPr>
      <t>Eficacia y eficiencia: 100%,</t>
    </r>
    <r>
      <rPr>
        <sz val="11"/>
        <color theme="1"/>
        <rFont val="Arial"/>
        <family val="2"/>
      </rPr>
      <t xml:space="preserve">  se reglamentoel funcionamiento del Comité Técnico de Gestión Ambiental de la Universidad del Cauca, su conformación y funciones en correspondencia con el Acuerdo Superior 058 de 2018 sobre la Política Ambiental de la Universidad del Cauca.
</t>
    </r>
    <r>
      <rPr>
        <b/>
        <sz val="11"/>
        <color theme="1"/>
        <rFont val="Arial"/>
        <family val="2"/>
      </rPr>
      <t>Gestión: 100%,</t>
    </r>
    <r>
      <rPr>
        <sz val="11"/>
        <color theme="1"/>
        <rFont val="Arial"/>
        <family val="2"/>
      </rPr>
      <t xml:space="preserve"> se evidencia la operación del Comité para la toma de decisiones,  y aplicación de acciones tendientes al fortalecimiento de la Gestión Ambiental de la Universidad del Cauca.
</t>
    </r>
    <r>
      <rPr>
        <b/>
        <sz val="11"/>
        <color theme="1"/>
        <rFont val="Arial"/>
        <family val="2"/>
      </rPr>
      <t>Impacto: 100%,</t>
    </r>
    <r>
      <rPr>
        <sz val="11"/>
        <color theme="1"/>
        <rFont val="Arial"/>
        <family val="2"/>
      </rPr>
      <t xml:space="preserve"> Se actualizó los integrantes del Comité con Resolución R - 207 del 15/03/2022, y se evidencian actas de reunión del Comité.
Existe dificultad  para la asignación de horas labor de docente ocasional, quien participa activamente.</t>
    </r>
  </si>
  <si>
    <t xml:space="preserve">Actualizar Plan de Gestión Ambiental Institucional/
 En la entidad no existe diagnósticos ni inventarios precisos (actualizados) sobre actividades que afectan directa e indirectamente el medio ambiente y los recursos naturales, ni evaluación de los impactos ambientales significativos. </t>
  </si>
  <si>
    <t xml:space="preserve">Los propósitos de la Universidad no se orientan a la transversalidad de lo ambiental en las acciones misionales y de apoyo  para que se garantice una verdadera dinámica gestión institucional fundamentada en el cuidado y sostenibilidad del entorno.
</t>
  </si>
  <si>
    <t xml:space="preserve">Actualizar Plan de gestión ambiental considerando  diagnósticos existentes  
</t>
  </si>
  <si>
    <t>Considerar diagnósticos  existentes y  elaborar Diagnósticos Agua, Energía, movilidad sostenible.</t>
  </si>
  <si>
    <t xml:space="preserve">Número de diagnósticos realizados /líneas estratégicas.
Documento Plan de Gestión Ambiental. 
</t>
  </si>
  <si>
    <t xml:space="preserve">Comité Técnico - Equipo  Operativo de Gestión Ambiental.  </t>
  </si>
  <si>
    <t>Propuesta Plan de gestión ambiental actualizado</t>
  </si>
  <si>
    <r>
      <t>El Centro de Gestión de la Calidad y Acreditación Institucional,  informó respecto de la actualización de los diagnósticos y necesidades de insumos que obedecen a la implementación del Plan de Gestión Integral de Residuos - PGIR de la Universidad del Cauca.  Se remite el Plan de Gestión Ambiental - PGA Vigencia 2021 que recoge los diagnósticos ambientales avanzados hasta la fecha como resultado del análisis de la MAIA.</t>
    </r>
    <r>
      <rPr>
        <b/>
        <sz val="11"/>
        <rFont val="Arial"/>
        <family val="2"/>
      </rPr>
      <t/>
    </r>
  </si>
  <si>
    <t xml:space="preserve">Diagnosticos realizados y actualizados
 Avance 100%, sujeto a la aprobación del Plan de Gestión de Ambiental por el Comité Técnico de Gestión Ambiental. </t>
  </si>
  <si>
    <r>
      <t xml:space="preserve">Actividad con efectividad de 95%:
</t>
    </r>
    <r>
      <rPr>
        <b/>
        <sz val="11"/>
        <color theme="1"/>
        <rFont val="Arial"/>
        <family val="2"/>
      </rPr>
      <t xml:space="preserve">Eficacia y eficiencia: 84%, </t>
    </r>
    <r>
      <rPr>
        <sz val="11"/>
        <color theme="1"/>
        <rFont val="Arial"/>
        <family val="2"/>
      </rPr>
      <t xml:space="preserve">se realizaron los diagnosticos por fuera del tiempo programado
</t>
    </r>
    <r>
      <rPr>
        <b/>
        <sz val="11"/>
        <color theme="1"/>
        <rFont val="Arial"/>
        <family val="2"/>
      </rPr>
      <t>Gestión: 100%,</t>
    </r>
    <r>
      <rPr>
        <sz val="11"/>
        <color theme="1"/>
        <rFont val="Arial"/>
        <family val="2"/>
      </rPr>
      <t xml:space="preserve"> los diagnosticos permiten conocer las  actividades que afectan directa e indirectamente el medio ambiente y los recursos naturales, con evaluación de los impactos ambientales significativos. 
</t>
    </r>
    <r>
      <rPr>
        <b/>
        <sz val="11"/>
        <color theme="1"/>
        <rFont val="Arial"/>
        <family val="2"/>
      </rPr>
      <t>Impacto: 100%</t>
    </r>
    <r>
      <rPr>
        <sz val="11"/>
        <color theme="1"/>
        <rFont val="Arial"/>
        <family val="2"/>
      </rPr>
      <t>, se continua realizando los diagnosticos, y se evidencia la articulación con trabajos de grado: residuos aprovechables, residuos de podas y cafeterías, georeferenciación de áreas verdes.</t>
    </r>
  </si>
  <si>
    <t xml:space="preserve">
Construir la matriz de aspectos e impactos ambientales.</t>
  </si>
  <si>
    <r>
      <t xml:space="preserve">Con correo eletrónico del 09/12/2021 desde la cuenta gestionambiental@unicauca.edu.co,  se recibió la matriz de seguimiento al Plan de Mejoramiento de Gestión Ambiental, remitiendo el documento "2021-V1 Matriz de Aspecto Ambientales", la cual desarrolla actividades para las líneas estratégicas previstas en la Política de Gestión Ambiental adoptada con el Acuerdo Superior 058 de 2018. 
</t>
    </r>
    <r>
      <rPr>
        <u/>
        <sz val="11"/>
        <color theme="1"/>
        <rFont val="Arial"/>
        <family val="2"/>
      </rPr>
      <t xml:space="preserve">
Matríz de aspectos ambiebtales consolidada </t>
    </r>
    <r>
      <rPr>
        <sz val="11"/>
        <color theme="1"/>
        <rFont val="Arial"/>
        <family val="2"/>
      </rPr>
      <t xml:space="preserve">
</t>
    </r>
  </si>
  <si>
    <t xml:space="preserve">La Matriz actual prevé el ciclo de vida con base en la ISO 14001 v7. Se definió por procesos. Su conexión con la política identifica aquellos aspectos que generen impactos ambientales considerando las líneas estratégicas. Por ej campo sostenible consumo de papel, energía, gestión de residuos solidos. Respecto del consumo de energía se ha previsto la necesidad de realizar auditoría energética, no obstante se valoró consumo a través de facturas. KW horas, efecto huella carbono, esto permite adoptar medidas además de la austeridad en el gasto, analizar el impacto ambiental a través de tecnología led, sensores, y demás medios para minimizar el costo ambiental. 
El Comité sesionó por primera vez el 21/06/2022. 
 Pasa 80 a 100%. </t>
  </si>
  <si>
    <r>
      <t xml:space="preserve">Actividad con efectividad de 95%:
</t>
    </r>
    <r>
      <rPr>
        <b/>
        <sz val="11"/>
        <color theme="1"/>
        <rFont val="Arial"/>
        <family val="2"/>
      </rPr>
      <t>Eficacia y eficiencia: 84%,</t>
    </r>
    <r>
      <rPr>
        <sz val="11"/>
        <color theme="1"/>
        <rFont val="Arial"/>
        <family val="2"/>
      </rPr>
      <t xml:space="preserve"> se construyó la matriz de impactos ambientales por fuera del tiempo programado
</t>
    </r>
    <r>
      <rPr>
        <b/>
        <sz val="11"/>
        <color theme="1"/>
        <rFont val="Arial"/>
        <family val="2"/>
      </rPr>
      <t>Gestión: 100%</t>
    </r>
    <r>
      <rPr>
        <sz val="11"/>
        <color theme="1"/>
        <rFont val="Arial"/>
        <family val="2"/>
      </rPr>
      <t xml:space="preserve">, La Matriz de impactos ambientales prevé el ciclo de vida con base en la ISO 14001. Se definió por procesos. Su conexión con la política ambiental identifica aquellos aspectos que generen impactos ambientales considerando las líneas estratégicas.
</t>
    </r>
    <r>
      <rPr>
        <b/>
        <sz val="11"/>
        <color theme="1"/>
        <rFont val="Arial"/>
        <family val="2"/>
      </rPr>
      <t xml:space="preserve">Impacto: 100%, </t>
    </r>
    <r>
      <rPr>
        <sz val="11"/>
        <color theme="1"/>
        <rFont val="Arial"/>
        <family val="2"/>
      </rPr>
      <t>resultado de los diagnosticos se actualiza la matriz de impactos ambientales.</t>
    </r>
  </si>
  <si>
    <t>Determinar los aspectos internos y externos que puedan afectar la capacidad de la Institución para lograr los objetivos previstos.</t>
  </si>
  <si>
    <t xml:space="preserve">Con correo eletrónico del 09/12/2021 desde la cuenta gestionambiental@unicauca.edu.co,  se recibió la matriz de seguimiento al Plan de Mejoramiento de Gestión Ambiental, remitiendo: 
-Contexto ambiental incluye matriz DOFA. 
-Matriz de objetivos ambientales. 
-Definición de los grupos de interés. 
-Matriz de riesgos ambientales MARUC. </t>
  </si>
  <si>
    <t xml:space="preserve">Con base en la base en la evidencia suministrada, la OCI asigna avance del 100%. 
Recomendación: Gestionar los riesgos ambientales a partir de la tipología prevista en la Política de Administración del Riesgo y su MARUC. </t>
  </si>
  <si>
    <r>
      <t xml:space="preserve">Actividad con efectividad de 95%:
</t>
    </r>
    <r>
      <rPr>
        <b/>
        <sz val="11"/>
        <color theme="1"/>
        <rFont val="Arial"/>
        <family val="2"/>
      </rPr>
      <t>Eficacia y eficiencia: 84%</t>
    </r>
    <r>
      <rPr>
        <sz val="11"/>
        <color theme="1"/>
        <rFont val="Arial"/>
        <family val="2"/>
      </rPr>
      <t xml:space="preserve">, se identifico aspectos internos y externos que pueden impactar los objetivos propuestos.
</t>
    </r>
    <r>
      <rPr>
        <b/>
        <sz val="11"/>
        <color theme="1"/>
        <rFont val="Arial"/>
        <family val="2"/>
      </rPr>
      <t>Gestión: 100%</t>
    </r>
    <r>
      <rPr>
        <sz val="11"/>
        <color theme="1"/>
        <rFont val="Arial"/>
        <family val="2"/>
      </rPr>
      <t xml:space="preserve">, los diagnosticos y matriz de aspectos ambientales definen aspectos internos y externos que afectan los objetivos.
</t>
    </r>
    <r>
      <rPr>
        <b/>
        <sz val="11"/>
        <color theme="1"/>
        <rFont val="Arial"/>
        <family val="2"/>
      </rPr>
      <t>Impacto: 100%,</t>
    </r>
    <r>
      <rPr>
        <sz val="11"/>
        <color theme="1"/>
        <rFont val="Arial"/>
        <family val="2"/>
      </rPr>
      <t xml:space="preserve"> resultado de los diagnosticos se socializa los resultados al Comité Técnico de Gestión Ambiental, Acta 2.2-1.56/01 del 21/06/2022 y Acta 2.2-1.56/02 del 28/07/2022 </t>
    </r>
  </si>
  <si>
    <t>Los propósitos de la Universidad no se orientan a la transversalidad de lo ambiental en las acciones misionales y de apoyo  para que se garantice una verdadera dinámica gestión institucional fundamentada en el cuidado y sostenibilidad del entorno.</t>
  </si>
  <si>
    <t xml:space="preserve">Actualizar Plan de gestión ambiental considerando  diagnósticos existentes  </t>
  </si>
  <si>
    <t>Definir Plan de Gestión Ambiental considerando líneas estratégicas definidas en Política y Diagnósticos.</t>
  </si>
  <si>
    <t>Con oficio 2.2-52.18/872 del 24 de noviembre de 2023 el CGCy AI informó:
Acta de reunión 2.2-1.56/3 de 2023 socialización diagnóstico, ejecución presupuesto, indicadores de gestión Plan de Gestión Integral de Residuos - PGIR, riesgos ambientals.
13 anteproyectos para realizar trabajo de grado enfocado a la actualización de la valoración de aspectos e impactos ambientales en las diferentes dependencias de la Universidad del Cauca.
13 Resoluciones de la Facultad de Ingeniería Civil de la Universidad del Cauca que avalan trabajos de grado modalidad práctica profesional empresarial en las diferentes Dependencias de la Universidad del Cauca. 
Resolución que avala estímulos económicos para la asesoría en la construcción de metodología para la valoración de AA e IA en la Universidad del Cauca</t>
  </si>
  <si>
    <t xml:space="preserve">
Las evidencias presentadas constituyen a gestiones para construir el Plan de Gestión Ambiental donde el equipo concluye que "la Actualización del Plan de Gestión Ambiental y el Acto administrativo que lo avala está sujeto al construcción y actualización de la metodología para la Valoración de Aspectos e Impactos Ambientales en la Universidad del Cauca una vez culminen los trabajos de grado avalados para este fin. "</t>
  </si>
  <si>
    <t>Sin evaluar efectividad,  se mantiene avance de 80% corte diciembre 2022, pendiente aprobación Plan de Gestión Ambiental</t>
  </si>
  <si>
    <t>Estructurar un plan de acción acorde a los hallazgos y diagnósticos previos:  / La Universidad del Cauca para la vigencia de 2013 no contó con Plan de Acción que le permitiera establecer actividades especificas a desarrollar para ejecutar los programas propuestos (10) en el Plan de Gestión Ambiental 2013, con fechas, responsables, recursos y controles</t>
  </si>
  <si>
    <t>No se cuenta con diagnósticos que permitan definir los principales impactos y efectos ambientales generados producto de sus actividades misionales y los posibles riesgos asociados.</t>
  </si>
  <si>
    <t>Formular Plan de Manejo de Riesgos Ambientales.</t>
  </si>
  <si>
    <t xml:space="preserve">Revisar los diagnósticos e informes ambientales, para identificar las áreas de la Institución que son más críticas para el cumplimiento de sus requisitos legales y de otros compromisoosderivados de la Política. </t>
  </si>
  <si>
    <t>No. riesgos ambientales y controles identificados.</t>
  </si>
  <si>
    <t>Matriz de aspectos e impactos ambientales.
Identificación posibles riesgos ambientales según líneas estratégicas.</t>
  </si>
  <si>
    <t xml:space="preserve">Diagnósticos para distintos residuos como insumo para la construcción de la matriz y del plan de gestión ambiental. </t>
  </si>
  <si>
    <t xml:space="preserve">Se documentó las áreas de la Institución que son más críticas para el cumplimiento de sus requisitos legales y de otros compromisoosderivados de la Política. 
Pasa del 75 al 100%. </t>
  </si>
  <si>
    <r>
      <t xml:space="preserve">Actividad con efectividad de  58%:
</t>
    </r>
    <r>
      <rPr>
        <b/>
        <sz val="11"/>
        <color theme="1"/>
        <rFont val="Arial"/>
        <family val="2"/>
      </rPr>
      <t>Eficacia y eficiencia: 50%,</t>
    </r>
    <r>
      <rPr>
        <sz val="11"/>
        <color theme="1"/>
        <rFont val="Arial"/>
        <family val="2"/>
      </rPr>
      <t xml:space="preserve"> Se documentó las áreas de la Institución que son más críticas para el cumplimiento de sus requisitos legales y de otros compromisos derivados de la Política por fuera de los tiempos programados
</t>
    </r>
    <r>
      <rPr>
        <b/>
        <sz val="11"/>
        <color theme="1"/>
        <rFont val="Arial"/>
        <family val="2"/>
      </rPr>
      <t xml:space="preserve">Gestión: 75%, </t>
    </r>
    <r>
      <rPr>
        <sz val="11"/>
        <color theme="1"/>
        <rFont val="Arial"/>
        <family val="2"/>
      </rPr>
      <t xml:space="preserve">se identifica las áreas  de más críticas para el cumplimiento de sus requisitos legales, sin embargo no se ha aprobado el Plan de Gestión Ambiental
Impacto: 50%,  sin identificar los riesgos de gestión ambiental
</t>
    </r>
  </si>
  <si>
    <t>Construir la matriz de riesgos ambientales.</t>
  </si>
  <si>
    <t>Con oficio 2.2-52.18/872 del 24 de noviembre de 2023 el CGCy AI informó:
Propuesta metodológica para la administración de riesgos y oportunidades ambientales, como anexo a la metodología de administración de riesgos de la Universidad del Cauca – MARUC - documento construido con apoyo de estudiantes. Documento compartido al Comité Técnico para su revisión y observaciones pertinentes.
Matriz de riesgos y oportunidades ambientales con riesgo "Inadecuada gestión de residuos sólidos y líquidos" en zona de riesgo extrema y control "Seguimiento a las directrices para la Gestión de Residuos Sólidos y Líquidos"</t>
  </si>
  <si>
    <t>La metodología propuesta define criterios para la Gestión Ambiental Institucional, y el riesgo identificado cumple con los críterios definidos.
Se debe aprobar por el Comité Técnico de Gestión Ambiental, e identificar los posibles riesgos que afectan la Gestión Ambiental Institucional.</t>
  </si>
  <si>
    <t>Sin evaluar efectividad,  se mantiene avance de 70% corte diciembre 2022, pendiente identificación de riesgos ambientales.</t>
  </si>
  <si>
    <t>Falta de operatividad del Comité de Gestión Ambiental, para la definición de líneas de trabajo que incluyan en el Plan de Acción anual, metas, recursos,  indicadores y responsables.</t>
  </si>
  <si>
    <t>Definir un Plan de Acción acorde a diagnósticos y contexto de la Institución.</t>
  </si>
  <si>
    <t xml:space="preserve">Definir objetivo y alcance considerando la Política Ambiental Institucional. </t>
  </si>
  <si>
    <t xml:space="preserve">Documento Plan de Desarrollo Institucional con inclusión del tema ambiental.
Documento Plan de Acción por cada vigencia.  </t>
  </si>
  <si>
    <t>Consejo Superior
Director Centro de Gestión de la Calidad y la Acreditación Institucional.
Comité Técnico de Gestión Ambiental</t>
  </si>
  <si>
    <t>Plan de acción 
Plan de gestión ambiental actualizado</t>
  </si>
  <si>
    <r>
      <t xml:space="preserve">Existe Plan de Acción vigencia 2019 estructurado a partir de las líneas estratégicas de la Política Ambiental, con 16 actividades, que prevé responsables, indicadores, producto y plazo de ejecución.                                                                                                                                                                             </t>
    </r>
    <r>
      <rPr>
        <b/>
        <sz val="12"/>
        <rFont val="Arial"/>
        <family val="2"/>
      </rPr>
      <t/>
    </r>
  </si>
  <si>
    <r>
      <t xml:space="preserve">Actividad con efectividad de  65%:
</t>
    </r>
    <r>
      <rPr>
        <b/>
        <sz val="11"/>
        <color theme="1"/>
        <rFont val="Arial"/>
        <family val="2"/>
      </rPr>
      <t>Eficacia y eficiencia: 94%,</t>
    </r>
    <r>
      <rPr>
        <sz val="11"/>
        <color theme="1"/>
        <rFont val="Arial"/>
        <family val="2"/>
      </rPr>
      <t xml:space="preserve"> se estructuro Plan de Acción con 16 actividades a partir de las líneas estrategicas de la Política de Gestión Ambiental.
</t>
    </r>
    <r>
      <rPr>
        <b/>
        <sz val="11"/>
        <color theme="1"/>
        <rFont val="Arial"/>
        <family val="2"/>
      </rPr>
      <t xml:space="preserve">Gestión, impacto 50%, </t>
    </r>
    <r>
      <rPr>
        <sz val="11"/>
        <color theme="1"/>
        <rFont val="Arial"/>
        <family val="2"/>
      </rPr>
      <t xml:space="preserve">el Plan de Acción se actualizara con el Plan de Gestión Ambiental y el proyecto a incluir en el Plan de Desarrollo Institucional 2023-2027
</t>
    </r>
  </si>
  <si>
    <t>Establecer metas, recursos, indicadores, fechas y responsables que permitan cumplir con los objetivos del Plan de Gestión Ambiental, en el marco de lo consignado en la Política Ambiental Institucional.</t>
  </si>
  <si>
    <t>Consejo Superior, Oficina de Planeación y Desarrollo Institucional, Vicerrectorías, Comité Técnico de Gestión Ambiental.</t>
  </si>
  <si>
    <t>Recursos Financieros</t>
  </si>
  <si>
    <r>
      <t xml:space="preserve">Existe Plan de Acción vigencia 2019 estructurado a partir de las líneas estratégicas de la Política Ambiental, con 16 actividades, que prevé responsables, indicadores, producto y plazo de ejecución.
Documento Plan de Gestión Ambiental 2023 – 2027 e Indicadores por el equipo operativo de Gestión Ambiental
Documento Plan de Gestión Ambiental (PGA) con diagnósticos por líneas estratégicas, indicadores y presupuesto.                                                                                                                                                             </t>
    </r>
    <r>
      <rPr>
        <b/>
        <sz val="12"/>
        <rFont val="Arial"/>
        <family val="2"/>
      </rPr>
      <t/>
    </r>
  </si>
  <si>
    <t>Indicadores de seguimiento propuestos</t>
  </si>
  <si>
    <r>
      <t xml:space="preserve">Actividad con efectividad de  65%:
</t>
    </r>
    <r>
      <rPr>
        <b/>
        <sz val="11"/>
        <color theme="1"/>
        <rFont val="Arial"/>
        <family val="2"/>
      </rPr>
      <t>Eficacia y eficiencia: 94%,</t>
    </r>
    <r>
      <rPr>
        <sz val="11"/>
        <color theme="1"/>
        <rFont val="Arial"/>
        <family val="2"/>
      </rPr>
      <t xml:space="preserve"> se definicieron indicadores para el plan de Gestión ambiental y el propyecto a incluir en el Plan de Desarrollo 2023-2027
</t>
    </r>
    <r>
      <rPr>
        <b/>
        <sz val="11"/>
        <color theme="1"/>
        <rFont val="Arial"/>
        <family val="2"/>
      </rPr>
      <t>Gestión, impacto 50%,</t>
    </r>
    <r>
      <rPr>
        <sz val="11"/>
        <color theme="1"/>
        <rFont val="Arial"/>
        <family val="2"/>
      </rPr>
      <t xml:space="preserve"> Indicadores pendiente de revisión por los responsables conforme se documento en acta .2-1.56/02 del 28/07/2022</t>
    </r>
  </si>
  <si>
    <t xml:space="preserve">Falta de operatividad del Comité de Gestión Ambiental, para la definición de líneas de trabajo que incluyan en el Plan de Acción anual, metas, recursos,  indicadores y responsables.
</t>
  </si>
  <si>
    <t xml:space="preserve">
Definir mecanismos de seguimiento y control a Plan de Acción.
</t>
  </si>
  <si>
    <t>Comité Técnico y Equipo operativo de Gestión Ambiental.</t>
  </si>
  <si>
    <r>
      <rPr>
        <sz val="11"/>
        <color theme="1"/>
        <rFont val="Arial"/>
        <family val="2"/>
      </rPr>
      <t xml:space="preserve">La evidencia suministrada no corresponde con la actividad de mejora. Se envía contrato de prestación de servicios y matriz de riesgos ambientales de acuerdo a la MARUC. </t>
    </r>
    <r>
      <rPr>
        <u/>
        <sz val="11"/>
        <color theme="1"/>
        <rFont val="Arial"/>
        <family val="2"/>
      </rPr>
      <t xml:space="preserve">
</t>
    </r>
    <r>
      <rPr>
        <sz val="11"/>
        <color theme="1"/>
        <rFont val="Arial"/>
        <family val="2"/>
      </rPr>
      <t xml:space="preserve">Se construyó Plan de Acción vigencia 2022. Se asignó labor académica para horas a los integrantes del Comité. </t>
    </r>
  </si>
  <si>
    <r>
      <t xml:space="preserve">Actividad con efectividad de 67%:
</t>
    </r>
    <r>
      <rPr>
        <b/>
        <sz val="11"/>
        <color theme="1"/>
        <rFont val="Arial"/>
        <family val="2"/>
      </rPr>
      <t>Eficacia y eficiencia: 50%</t>
    </r>
    <r>
      <rPr>
        <sz val="11"/>
        <color theme="1"/>
        <rFont val="Arial"/>
        <family val="2"/>
      </rPr>
      <t xml:space="preserve">, se definio Plan de Acción fuera del tiempo programado.
</t>
    </r>
    <r>
      <rPr>
        <b/>
        <sz val="11"/>
        <color theme="1"/>
        <rFont val="Arial"/>
        <family val="2"/>
      </rPr>
      <t xml:space="preserve">Gestión: 75%, </t>
    </r>
    <r>
      <rPr>
        <sz val="11"/>
        <color theme="1"/>
        <rFont val="Arial"/>
        <family val="2"/>
      </rPr>
      <t xml:space="preserve">se presento plan de Gestión ambiental socializado al comité, reunión acta 03 del 2022. En fase de revisión y ajuste de la propuesta de indicadores (pendiente enviar). Penndiente de socializar al comité de dirección. 
Proyecto incluye el desarrollo de la Politica de Gestión Ambiental y define indicadores para seguimiento.
</t>
    </r>
    <r>
      <rPr>
        <b/>
        <sz val="11"/>
        <color theme="1"/>
        <rFont val="Arial"/>
        <family val="2"/>
      </rPr>
      <t>Impacto: 75%</t>
    </r>
    <r>
      <rPr>
        <sz val="11"/>
        <color theme="1"/>
        <rFont val="Arial"/>
        <family val="2"/>
      </rPr>
      <t>, Se documento proyecto a incluir en Plan de Desarrollo Institucional - 2023 - 2027. Pendiente viabilización y aprobación.</t>
    </r>
  </si>
  <si>
    <t>Definir rubro de funcionamiento e inversión para gestión ambiental en el presupuesto anual institucional. En el presupuesto de ingresos y gastos para la vigencia 2013 no se determinaron de manera expresa los recursos a intervenir para atender los programas relacionados con la GAI en las cuatro Unidades, y en efecto no se evidencia ejecución de los recursos previstos en el Plan Operativo de Inversión por $50.000.000.</t>
  </si>
  <si>
    <t xml:space="preserve">Falta de operatividad del Comité de Gestión Ambiental, los propósitos de la Universidad no se orientan a la transversalidad de lo ambiental en las acciones misionales y de apoyo  para que se garantice una verdadera y dinámica de gestión institucional fundamentada en el cuidado y sostenibilidad del entorno.
</t>
  </si>
  <si>
    <t>Gestión de recursos  para implementar la Política Ambiental institucional.</t>
  </si>
  <si>
    <t>Establecer objetivos de las líneas estratégica definidas en la Política Ambiental.</t>
  </si>
  <si>
    <t xml:space="preserve">Presupuesto institucional con rubro asignado para gestión ambiental. </t>
  </si>
  <si>
    <t xml:space="preserve">Presupuesto Institucional </t>
  </si>
  <si>
    <t>Con correo eletrónico del 09/12/2021 desde la cuenta gestionambiental@unicauca.edu.co,  se recibió la matriz de seguimiento al Plan de Mejoramiento de Gestión Ambiental, remitiendo evidencian valoradas en el seguimiento corte junio 2021 que relacionan los registros del desarrollo de la actividad de mejora. 
Acta 2.2-1.56/01 del 21/06/2022 y Acta 2.2-1.56/02 del 28/07/2022 de Comité Técnico de Gestión Ambiental de Socialización PGA y otros temas. 
Documentos del proyecto “Fortalecimiento del Sistema de Gestión Ambiental de la Universidad del Cauca”</t>
  </si>
  <si>
    <t>La OCI conserva el avance del 90%,  sujeto a la aprobación del Comité Técnico de Gestión Ambiental. Y viabilización del presupuesto en la OPDI.</t>
  </si>
  <si>
    <r>
      <t xml:space="preserve">Actividad con efectividad de 90%:
</t>
    </r>
    <r>
      <rPr>
        <b/>
        <sz val="11"/>
        <color theme="1"/>
        <rFont val="Arial"/>
        <family val="2"/>
      </rPr>
      <t>Eficacia y eficiencia: 75%</t>
    </r>
    <r>
      <rPr>
        <sz val="11"/>
        <color theme="1"/>
        <rFont val="Arial"/>
        <family val="2"/>
      </rPr>
      <t xml:space="preserve">, se proyecto recursos para vigencia 2022.
</t>
    </r>
    <r>
      <rPr>
        <b/>
        <sz val="11"/>
        <color theme="1"/>
        <rFont val="Arial"/>
        <family val="2"/>
      </rPr>
      <t xml:space="preserve">Gestión: 100%, </t>
    </r>
    <r>
      <rPr>
        <sz val="11"/>
        <color theme="1"/>
        <rFont val="Arial"/>
        <family val="2"/>
      </rPr>
      <t xml:space="preserve">Documentos del proyecto “Fortalecimiento del Sistema de Gestión Ambiental de la Universidad del Cauca” a incluir al Plan de Desarrollo Institucional 2023 – 2027. Se presentó ante la Oficina de Planeación y Desarrollo Institucional para su viabilidad, con este proyecto se plantea operativizar cada una de las líneas estratégicas de la Política Ambiental Institucional
</t>
    </r>
    <r>
      <rPr>
        <b/>
        <sz val="11"/>
        <color theme="1"/>
        <rFont val="Arial"/>
        <family val="2"/>
      </rPr>
      <t>Impacto: 75%</t>
    </r>
    <r>
      <rPr>
        <sz val="11"/>
        <color theme="1"/>
        <rFont val="Arial"/>
        <family val="2"/>
      </rPr>
      <t>, El proyecto a incluir en Plan de Desarrollo Institucional se encuentra pendiente viabilización y aprobación</t>
    </r>
  </si>
  <si>
    <t xml:space="preserve">
Realizar la proyección de recursos necesarios para implementar la política ambiental considerando las líneas estratégicas para cada vigencia.
</t>
  </si>
  <si>
    <t xml:space="preserve">Con correo eletrónico del 09/12/2021 desde la cuenta gestionambiental@unicauca.edu.co,  se recibió la matriz de seguimiento al Plan de Mejoramiento de Gestión Ambiental, relacionando el documento "Plantilla de inversión definitiva para la vigencia 2022", el cual no permite establecer el nivel de avance del proyecto de inversión RG 2017-037 “Fortalecimiento del Sistema Gestión Ambiental Institucional" corte diciembre 2021. 
Acta 2.2-1.56/01 del 21/06/2022 y Acta 2.2-1.56/02 del 28/07/2022 de Comité Técnico de Gestión Ambiental de Socialización PGA y otros temas. 
Documentos del proyecto “Fortalecimiento del Sistema de Gestión Ambiental de la Universidad del Cauca” con presupuesto detallado en el formato PE-GE-2.2- FOR -48 Anexo B. Presentación y Seguimiento proyectos V2.
</t>
  </si>
  <si>
    <r>
      <t xml:space="preserve">Actividad con efectividad de 90%:
</t>
    </r>
    <r>
      <rPr>
        <b/>
        <sz val="11"/>
        <color theme="1"/>
        <rFont val="Arial"/>
        <family val="2"/>
      </rPr>
      <t>Eficacia y eficiencia: 95%</t>
    </r>
    <r>
      <rPr>
        <sz val="11"/>
        <color theme="1"/>
        <rFont val="Arial"/>
        <family val="2"/>
      </rPr>
      <t xml:space="preserve">, se proyecto recursos para vigencia 2022.
</t>
    </r>
    <r>
      <rPr>
        <b/>
        <sz val="11"/>
        <color theme="1"/>
        <rFont val="Arial"/>
        <family val="2"/>
      </rPr>
      <t xml:space="preserve">Gestión: 100%, </t>
    </r>
    <r>
      <rPr>
        <sz val="11"/>
        <color theme="1"/>
        <rFont val="Arial"/>
        <family val="2"/>
      </rPr>
      <t xml:space="preserve">Se cuenta con la programacicón de presupuesto para la operación de la Política de Gestión Ambiental de la Universidad del Cauca. 
</t>
    </r>
    <r>
      <rPr>
        <b/>
        <sz val="11"/>
        <color theme="1"/>
        <rFont val="Arial"/>
        <family val="2"/>
      </rPr>
      <t>Impacto: 75%</t>
    </r>
    <r>
      <rPr>
        <sz val="11"/>
        <color theme="1"/>
        <rFont val="Arial"/>
        <family val="2"/>
      </rPr>
      <t>, El proyecto a incluir en Plan de Desarrollo Institucional - 2023 - 2027 define presupuesto para las vigencias 2023-2027. Pendiente viabilización y aprobación</t>
    </r>
  </si>
  <si>
    <t>Incorporar en el Plan Institucional de Capacitación, la temática ambiental definida según diagnóstico/ A pesar de las campañas y transmisiones realizadas por los  medios de comunicación de la Entidad sobre el tema ambiental, en  la vigencia 2013 no se evidencia amplia difusión del Plan de Gestión Ambiental Institucional, y las acciones de sensibilización no han sido efectivas para  lograr el conocimiento de la política ambiental, objetivos y metas establecidas ni la sensibilización ambiental y respuesta de toda la comunidad universitaria.</t>
  </si>
  <si>
    <t>Incorporar en el Plan Institucional de Capacitación, la temática ambiental definida según diagnósticos.</t>
  </si>
  <si>
    <t>Definir acciones de sensibilización y capacitación considerando las líneas estratégicas definidas en la Política Ambiental Institucional.</t>
  </si>
  <si>
    <t>No.Acciones de sensibilización realizadas.</t>
  </si>
  <si>
    <t>Comité Técnico de Gestión Ambiental y Equipo Operativo de Gestión Ambiental.</t>
  </si>
  <si>
    <t>PIC, Registros de asistencias, Videoclips, Campañas</t>
  </si>
  <si>
    <t xml:space="preserve">Piezas gráficas e infografias, correos masivos, redes sociales. Se cuenta con cronograma de seguimiento manejo residuos laboratorios docencia e investigación Universidad del Cauca, para identificar oportunidades de mejora relacionadas con la gestión de procesos y residuos al interior de los laboratorios. 
</t>
  </si>
  <si>
    <t xml:space="preserve">Se asigna avance del 100%, condicionada la efectividad a dar permanencia a la mejora. </t>
  </si>
  <si>
    <r>
      <t xml:space="preserve">Actividad con efectividad del 100%
</t>
    </r>
    <r>
      <rPr>
        <b/>
        <sz val="11"/>
        <color theme="1"/>
        <rFont val="Arial"/>
        <family val="2"/>
      </rPr>
      <t>Eficacia y eficiencia: 100%</t>
    </r>
    <r>
      <rPr>
        <sz val="11"/>
        <color theme="1"/>
        <rFont val="Arial"/>
        <family val="2"/>
      </rPr>
      <t xml:space="preserve">, se socializó la Politica de Gestión con las líneas estratégicas.
</t>
    </r>
    <r>
      <rPr>
        <b/>
        <sz val="11"/>
        <color theme="1"/>
        <rFont val="Arial"/>
        <family val="2"/>
      </rPr>
      <t>Gestión: 100%</t>
    </r>
    <r>
      <rPr>
        <sz val="11"/>
        <color theme="1"/>
        <rFont val="Arial"/>
        <family val="2"/>
      </rPr>
      <t xml:space="preserve">, la socialización de la Política permite interiorizar los objetivos y lineas estratégicas  a la comunidad universitaria. 
</t>
    </r>
    <r>
      <rPr>
        <b/>
        <sz val="11"/>
        <color theme="1"/>
        <rFont val="Arial"/>
        <family val="2"/>
      </rPr>
      <t>Impacto: 100%</t>
    </r>
    <r>
      <rPr>
        <sz val="11"/>
        <color theme="1"/>
        <rFont val="Arial"/>
        <family val="2"/>
      </rPr>
      <t>, Se continua socializando la Política con infografias y presentaciones. Plan de Gestión Ambiental incluye temáticas.</t>
    </r>
  </si>
  <si>
    <t>Definir estrategias de  seguimiento y evaluación del PGA /Se carece de mecanismos efectivos para el control y seguimiento en el proceso de implementar acciones tendientes a la prevención, mitigación y corrección de impactos ambientales que puedan producir sus actividades misionales y de apoyo y contribuir a la conservación del patrimonio natural.</t>
  </si>
  <si>
    <t xml:space="preserve">Falta de operatividad del Comité de Gestión Ambiental.
El Plan de Gestión Ambiental Institucional vigente presenta falencias en cuanto a metas, indicadores y responsables </t>
  </si>
  <si>
    <t>Definir estrategias de  seguimiento y evaluación del PGA considerando aspectos e impactos ambientales identificados a través de  diagnósticos.</t>
  </si>
  <si>
    <t>Definir estrategias de  control  y seguimiento para cumplimiento de metas e indicadores.</t>
  </si>
  <si>
    <t>No.Informes de seguimiento y control a las acciones previstas y a los indicadores definidos.
No. visitas de seguimiento a Plan de Mejora para avances y efectividad de las acciones definidas.</t>
  </si>
  <si>
    <t xml:space="preserve">Con correo eletrónico del 09/12/2021 desde la cuenta gestionambiental@unicauca.edu.co,  se recibió la matriz de seguimiento al Plan de Mejoramiento de Gestión Ambiental, sin relacionarse evidencias de la definición de controles para el seguimiento y la medición de metas e indicadores del Plan de Gestión Ambiental-PGA.
Acta 2.2-1.56/01 del 21/06/2022 y acta 2.2-1.56/02 de 28/07/2022 define classroom como medio de comunicación para subir compartir documentos y hacer control a compromisos.
 Acta 2.2-1.56/02 del 28/07/2022, define responsables del Comité para cada una de las líneas estratégicas quienes realizaran la formulación de indicadores y seguimientos.
</t>
  </si>
  <si>
    <t>Esta actividad conserva el avance, con el fin de poder impulsar la aprobación del PGA, sobre el cual se espera el seguimiento y monitoreo a la implementación de indicadores.</t>
  </si>
  <si>
    <r>
      <t xml:space="preserve">Actividad con efectividad de 48%
</t>
    </r>
    <r>
      <rPr>
        <b/>
        <sz val="11"/>
        <color theme="1"/>
        <rFont val="Arial"/>
        <family val="2"/>
      </rPr>
      <t>Eficacia y eficiencia: 45%</t>
    </r>
    <r>
      <rPr>
        <sz val="11"/>
        <color theme="1"/>
        <rFont val="Arial"/>
        <family val="2"/>
      </rPr>
      <t xml:space="preserve"> se definieron estrategias por fuera del tiempo programado.
</t>
    </r>
    <r>
      <rPr>
        <b/>
        <sz val="11"/>
        <color theme="1"/>
        <rFont val="Arial"/>
        <family val="2"/>
      </rPr>
      <t>Gestión: 50%,</t>
    </r>
    <r>
      <rPr>
        <sz val="11"/>
        <color theme="1"/>
        <rFont val="Arial"/>
        <family val="2"/>
      </rPr>
      <t xml:space="preserve"> se cuenta con estrategias para realizar seguimiento a los compromisos de los integrantes del Comité Técnico de Gestión Ambiental.
Pendiente revisión y aprobción de indicadores.
</t>
    </r>
    <r>
      <rPr>
        <b/>
        <sz val="11"/>
        <color theme="1"/>
        <rFont val="Arial"/>
        <family val="2"/>
      </rPr>
      <t>Impacto: 50%</t>
    </r>
    <r>
      <rPr>
        <sz val="11"/>
        <color theme="1"/>
        <rFont val="Arial"/>
        <family val="2"/>
      </rPr>
      <t>,  pendiente de retroalimentación de indicadores presentados en el Plan de Gestión Ambiental.</t>
    </r>
  </si>
  <si>
    <t>Adelantar las acciones de control y seguimiento definidas.</t>
  </si>
  <si>
    <t xml:space="preserve">Informes, Listas de chequeo de visitas, Actas, registros fotográfico y de asistencia </t>
  </si>
  <si>
    <t>Con oficio 2.2-52.18/872 del 24 de noviembre de 2023 el CGCy AI informó:
Documento final de trabajo de grado "Diagnóstico de la posibilidad de implementar el Sistema de Gestión Ambiental bajo la norma ISO 14001 de 2015 en la Universidad del Cauca"
Propuesta de trabajo de anteproyecto para diseño de software para el seguimiento de indicadores en la Política Ambiental, Sistema de Gestión Ambiental y Plan de Gestión Ambiental
Presupuesto para la vigencia 2024 que avala el 20% para realizar diseño de Software para el seguimiento de indicadores en la Política Ambiental y Plan de Gestión Ambiental</t>
  </si>
  <si>
    <t>Las evidencias presentadas registran gestiones para el seguimiento a los indicadores de Gestión Ambiental, sin embargo, se debe aprobar el Plan de Gestión Ambiental para su seguimiento.</t>
  </si>
  <si>
    <t>Elaborar Informes de Seguimiento a las acciones propuestas.</t>
  </si>
  <si>
    <t>Debido a que se esta realizando la actualización de la Valoración de Aspectos e Impactos Ambientales de la Universidad del Cauca por medio de trabajo de grado y son insumo para la actualización del Plan de Gestión Ambiental, no se presenta avance en esta actividad</t>
  </si>
  <si>
    <t>Verificar avances a Plan de Mejora definido.</t>
  </si>
  <si>
    <t xml:space="preserve">Con correo eletrónico del 09/12/2021 desde la cuenta gestionambiental@unicauca.edu.co,  se recibió la matriz de seguimiento al Plan de Mejoramiento de Gestión Ambiental, remitiendo el plan de acción de la vigencia, que define actividades, metas, indicadores, tiempo de ejecución, evidencia y responsables. Igualmente, se logra observar el seguimiento  la ejecución de la programación, con corte a junio y diciembre del 2021.  
</t>
  </si>
  <si>
    <t xml:space="preserve">
La OCI avala el avance del 80% propuesto. 
Se logra observar que el plan de mejoramiento constituye referente para los ejercicios de autoevaluación y mejoramiento del proceso ambiental que lidera el CGCAI. 
</t>
  </si>
  <si>
    <t>Actividad con efectividad de 83%,
Eficacia y eficiencia: 50% el plan de mejoramiento se gestionó con 36% de cumplimiento.
Gestión: 100%, el plan de mejoramiento es referente para las acciones de impulso a la gestión ambiental institucional
Impacto: 100%, existe mejora en la gestión ambiental, pero existen actividades pendientes de ejecución.</t>
  </si>
  <si>
    <t>DIVISIÓN DE ADMISIONES, REGISTRO Y CONTROL ACADÉMICO - DARCA</t>
  </si>
  <si>
    <t>27/10/2022</t>
  </si>
  <si>
    <t>INFORME 2.6-52.18/06 DE 2022. DE EVALUACIÓN AL PROCEDIMIENTO DE
REGISTRO DE NOTAS ACADÉMICAS EN LA UNIVERSIDAD DEL CAUCA</t>
  </si>
  <si>
    <t>26/10/2023</t>
  </si>
  <si>
    <t>El Plan de mejoramiento registra poco avance en razón a su reciente suscripción</t>
  </si>
  <si>
    <t>Falta de documentación de procedimientos que guíen la operación en todas las fases del ciclo PHVA del registro de notas académicas de los estudiantes de pregrado.</t>
  </si>
  <si>
    <t>No se han documentado las actividades, responsables y controles del procedimiento</t>
  </si>
  <si>
    <t>Documentar el procedimiento que guie la operacion para el registro de calificaciones, estableciendo controles y responsables.</t>
  </si>
  <si>
    <t xml:space="preserve">Realizar reuniones con los decanos de Facultad para consolidar y estandarizar las actividades del procedimiento  </t>
  </si>
  <si>
    <t>Reuniones con decanos realizadas</t>
  </si>
  <si>
    <t>Profesional Especializado de la División de Admisiones, Registro y Control Académico DARCA.</t>
  </si>
  <si>
    <t>Actas de reunión firmadas y oficios de solicitud de reunión</t>
  </si>
  <si>
    <t>oficios 4.2-52.5/0998, 1004, 1000, 1001, 1002, 1003, 1005, 1006, del 15/11/2022. La Profesional Especializada solicita un espacio ante los consejos de las diferentes facultades de la Universidad en las que se tratará el tema relacionado con la estandarización de las actividades del registro de notas de los diferentes programas académicos.
Acta N° 0033 del 18/11/2022, facultad de ciencias contables economicas y administrativas y registro de asistencia del 18/03/2022
Acta N° 0035 del 28/11/2022, facultad de ciencias de la salud y registro de asistencia del 28/11/2022
Registro de asistencia del 29/11/2022, sin registro de la dependencia que organiza, el tema a tratar, lugar de realización.
Registro de asistencia del 6/12/2022, Facultad de ingenieria electrónica y telecomunicaciones, 
Oficio 4.2-52.5/237 del 16/03/2023, reiteración mesa de trabajo registro de calificaciones
Acta N° 01 del 08/03/2023, falcultad de derecho
Acta N° 4.2-1.56/021 del 26/06/2023, Facultad de ciencias agracias y registro de asistencia.
DARCA manifestó que por situaciones logisticas no se logró la reunion con la facultad de ciencias humanas , la facultad de artes ni de ingeneria civil.</t>
  </si>
  <si>
    <t>Actas sin identificar la Serie y subserie según las Tablas de Retención Documental 
Se encuentran pendientes la documentación de algunas actas con las sesiones de trabajo realizadas.
Las actas deben incluir las conclusiones y evidenciar el cumplimiento del objetivo de la reunión</t>
  </si>
  <si>
    <t>No existe un procedimiento documentado para el registro de calificaciones</t>
  </si>
  <si>
    <t>Documentar el paso a paso del procedimiento, con los respectivos responsables y controles</t>
  </si>
  <si>
    <t>Procedimiento documentado</t>
  </si>
  <si>
    <t>Vicerrectoría Académica, Profesional Especializado de la División de Admisiones, Registro y Control Académico DARCA, División Tic´s</t>
  </si>
  <si>
    <t>Procedimiento publicado en Lvmen</t>
  </si>
  <si>
    <t>Resolución 8.8-90.2/087 del 03/03/2023, autoriza práctica profesional y asesor académico  FACEA 
Acuerdo de confidencialidad en uso de la información
Oficios 4.2-52.5/252 y 253 desiganción de asesor empresarial
Informes 1 y 2 de la practica entregados por la pasantes 
Propuesta de Creación de Procedimiento División de Admisiones, Registro y Control Académico - DARCA, de Control del Registro de Calificaciones para estudiantes de Pregrado de la Universidad del Cauca</t>
  </si>
  <si>
    <t>Se presenta un documento que servira de insumo para la documentación del procedimiento que contenga la descripción del responsable, objetivo, alcance, marco normativo y actividades para las fases del Ciclo PHVA que minimicen los riesgos su operación, aclarando las responsabilidades de la DARCA, las unidades académicas y los docentes.
Para la presentación del procedimienot se debe aplicar los instrumentos definidos por el Centro de Gestión de la Calidad y Acreditación Institucional.</t>
  </si>
  <si>
    <t>Socializar a todos los actores el nuevo procedimiento y los controles a ser implementados</t>
  </si>
  <si>
    <t>Procedimiento socializado</t>
  </si>
  <si>
    <t xml:space="preserve">Vicerrectoría Académica, Profesional Especializado de la División de Admisiones, Registro y Control Académico DARCA, División Tic´s
       </t>
  </si>
  <si>
    <t>Registros de socialización</t>
  </si>
  <si>
    <t>Sin evidencia</t>
  </si>
  <si>
    <t>Crear y actualizar varias herramientas de apoyo a la creación del procedimiento de registro de calificaciones.</t>
  </si>
  <si>
    <t>Herramientas creadas y actualizadas</t>
  </si>
  <si>
    <t xml:space="preserve">Profesional Especializado de la División de Admisiones, Registro y Control Académico DARCA.
       </t>
  </si>
  <si>
    <t>Herramientas de apoyo</t>
  </si>
  <si>
    <t>Se mantienen las inconformidades a través de las PQR por las partes interesadas y/o grupos de valor sobre registros y corrección de notas académicas, principalmente en la Facultad de Derecho, Ciencias Políticas y Sociales y DARCA.</t>
  </si>
  <si>
    <t>Establecer una estrategia para el control del registro oportuno de calificaciones de los programas con alto índice de PQR</t>
  </si>
  <si>
    <t>Documentar las estrategias con sus respectivos responsables</t>
  </si>
  <si>
    <t>Estrategias documentadas</t>
  </si>
  <si>
    <t xml:space="preserve">Profesional Especializado de la División de Admisiones, Registro y Control Académico DARCA y equipo de trabajo
       </t>
  </si>
  <si>
    <t>Actas de reunión firmadas</t>
  </si>
  <si>
    <t>Resolución Rectoral 1169 de 29 de noviembre de 2022, que indica la  “… Por la cual se modifica parcialmente la Resolución R-695 de 30 de julio de 2019, modificada por la resolución 0028 de 17 de enero de 2022 – CONFIRMACIÓN DEL EQUIPO – Constituir un equipo de seguimiento y apoyo a la mejora de los procedimientos académico-administrativos de registro de calificaciones definitivas aprobatorias de las diferentes asignaturas que componen los planes de estudio de los programas ofertados por la Universidad del Cauca
1-pantallazos de Correos electronicos  enviados a  las facultades  con la finalidad de dar a conocer los docentes que no han realizado registro de notas.
2- Oficio 4.2-22.1/006 del 2022 a funcionarios DARCA, con instrucciones como medida correctiva para el procedimiento de registro de notas</t>
  </si>
  <si>
    <t>Se informó sobre las gestiones ante la Facultad de Derecho y Ciencias Políticas y Sociales, a través de correos electrónicos con los que se solicita el registro de notas pendientes. La OCI no obtuvo los registros que evidencien la gestión mencionada.
Se evidencian las correos informales (sin TRD, sin formato institucional) enviados a Decanos de Facultades con alertas sobre las materias y docentes sin registro de notas corte 70% en SIMCA  de agosto de 2022, y febrero de 2023. No se evidencia los anexos en Excel imposibilitando comprobar la eficacia de la implementación de la estrategia
Se han implementado medidas correctivas en cuanto a la aplicación de nuevos  controles  para el registro de notas, sin embargo, el procedimiento se encuentra en proceso de documentación.</t>
  </si>
  <si>
    <t>Identificar e implementar un indicador para medir la efectividad de los controles resultado de la estrategia implementada</t>
  </si>
  <si>
    <t xml:space="preserve">Indicadores de efectividad identificados e implementados                        </t>
  </si>
  <si>
    <t>Documento Control del Registro de Calificaciones para estudiantes de Pregrado de la Universidad del Cauca</t>
  </si>
  <si>
    <t>El documento evidenciado identifica durante los periodos académicos 2022-1,2022-2 y 2023-1 un gráfico estadístico comparativo con la tendencia que tiene el no registro de notas dentro de los tiempos establecidos.
Sin análisis del resultado de la aplicación de los controles, ademas el gráfico presenta una tendencia ascendente en el incumplimiento de registro de notas, por lo que la apliación  de los contrles no son efectivos.
Deben establecer lineamientos frente a los incumplimientos de los tiempos y cronogramas definidos</t>
  </si>
  <si>
    <t>Sin evidencias de la ejecución y seguimiento a los controles identificados para gestionar el riesgo de corrupción.</t>
  </si>
  <si>
    <t>No se han identificado los riesgos de gestión y corrupción, para poder establecer los controles pertinentes</t>
  </si>
  <si>
    <t>Administrar los riesgos de gestión y corrupción del procedimiento de registro de notas y las acciones para mitigar su materialización</t>
  </si>
  <si>
    <t>Identificar, valorar, realizar tratamiento de los riesgos de gestión y corrupción inherentes al procedimiento de registro de notas.</t>
  </si>
  <si>
    <t>Riesgos identificados, valorados y tratados</t>
  </si>
  <si>
    <t xml:space="preserve">Profesional Especializado de la División de Admisiones, Registro y Control Académico DARCA y Equipo de trabajo
       </t>
  </si>
  <si>
    <t xml:space="preserve">                                     1. Matriz de riesgos monitoreada                                                                                        2. Acta de reunión firmada por los involucrados</t>
  </si>
  <si>
    <t>Se identificó el riesgo "Vulneración al sistema integrado de matrícula académica SIMCA en los registros académicos" en el mapa de riesgos institucional.</t>
  </si>
  <si>
    <t>El riesgo identificado se encuentra en nivel de riesgo residual "Alto", a reducir con la definición de 3 controles:
Reportes de seguimientos a los registros realizados por los técnicos en la plataforma SIMCA
Implementar alertas para cambios periódicos de contraseñas de la plataforma SIMCA
Implementar alertas para los registros realizados por los técnicos de DARCA
Sin evidencia del acta de reunión.</t>
  </si>
  <si>
    <t>Efectividad del 92%,
Se identificó un riesgo de gestión en el tiempo programado.
Gestión 100%, el riesgo identificado detalla controles para reducir su impacto "Alto" frente a la vulneración del sistema.
Impacto 75%, solo se ha realizado el monitoreo a un control y no se evidenció el acta de identificación del riesgo.</t>
  </si>
  <si>
    <t xml:space="preserve">Monitorear los riesgos con los controles implementados                                                      </t>
  </si>
  <si>
    <t>Riesgos monitoreados</t>
  </si>
  <si>
    <t>Profesional Especializado de la División de Admisiones, Registro y Control Académico DARCA</t>
  </si>
  <si>
    <t>Entrega de informe MONITOREO 1ER PAAC 2023-DARCA, oficio 4.2-52.5/284
del  31/03/2023</t>
  </si>
  <si>
    <t>El informe de la OCI 2.6-52.18/09 de 2023, para los controles se determinó:
Reportes de seguimientos a los registros realizados por los técnicos en la plataforma SIMCA: asigna avance de 100%  y  recomienda seguir aplicando los controles para evitar vulneraciones
Sin evidencia y avances para Implementar alertas para cambios periódicos de contraseñas de la plataforma SIMCA e Implementar alertas para los registros realizados por los técnicos de DARCA</t>
  </si>
  <si>
    <t>Código:</t>
  </si>
  <si>
    <t xml:space="preserve">Área de Seguridad y Movilidad </t>
  </si>
  <si>
    <t>Mario Camilo Campo</t>
  </si>
  <si>
    <t>2.4-52.18/003 de 2018 Seguimiento al Procedimiento de Servicio de Transporte de la Universidad del Cauca</t>
  </si>
  <si>
    <t>No se prevén políticas de operación que direccionen la gestión del subproceso objeto de evaluación, hacia la implementación de estrategias de los objetivos institucionales</t>
  </si>
  <si>
    <t>El Área de Seguridad, Control y Movilidad no cuenta con políticas de operación que armonice y articule sus funciones y servicios con las políticas y objetivos de los procesos e institucionales</t>
  </si>
  <si>
    <t xml:space="preserve">Formular e implementar la política de operación del Área de Seguridad, Control y Movilidad.   </t>
  </si>
  <si>
    <t xml:space="preserve">Diseñar la política de operación del Área de Seguridad, Control y Movilidad. </t>
  </si>
  <si>
    <t>Política  diseñada</t>
  </si>
  <si>
    <t>Coordinador de Área de Seguridad, Control y Movilidad</t>
  </si>
  <si>
    <t>Registro diseño política</t>
  </si>
  <si>
    <t>31/03/2019</t>
  </si>
  <si>
    <t>Alerta</t>
  </si>
  <si>
    <t>Incumple</t>
  </si>
  <si>
    <t xml:space="preserve">Circular informativa para el servicio de transporte 5.4-22.1/1432 del 24/05/2022. Enfásis en la aplicación de la política como referente en los documentos que emite el Área de Seguridad, Control y Movilidad. Legalidad.
Puntualidad: Reuniones mensuales, pero sin enfasis en este eje. Se va hacer el análisis sobre la necesidad de viabilizar horas extras.
Seguridad: A través de herramientas.
Criterios para mantenimiento preventivo de los vehiculos. Revisar ejecución del cronograma de mantenimiento.  Para el descanso y mantenimiento de los vehículos se prevé una programación, no obstante, las negativas de las solicitudes deben orientarse desde las políticas y estrategias del Área.
El coordinador del Área solicitó a a dirección apoyar la aplicación de las políticas y protocolos para la prestación del servicio de transporte. Se cuenta informe del panorama del Área de Transporte.
Se realizó asesoría Facultad de Ciencias de la Salud Acta 5.4.4-12.1/1667 del 14/06/2022. </t>
  </si>
  <si>
    <t xml:space="preserve">Corte noviembre 2020: La política se encuentra diseñada y se solicitó al Centro de Gestión de la Calidad y Acreditación institucional su formalización y publicación en el programa Lvmen. </t>
  </si>
  <si>
    <t xml:space="preserve">Se verifico el diseño, la formalización, la implementación, las socializaciones y la verificación semestral de la política de operación mediante la evidencia reportada en el drive compartido por parte del Área de Seguridad, Control y Movilidad y mediante evidencias físicas reportadas in situ el 8 de agosto de 2013, como el formato PA-GA-5.4.4 FOR4 en su versión 3 “solicitud de préstamo de vehículos” o evidencias de sesiones de trabajo en el área para socializar la política de operación.
Se recomienda hacer énfasis en las estadísticas específicas, no están compiladas, para que sean un posible insumo en la toma de decisiones.
</t>
  </si>
  <si>
    <t xml:space="preserve">Formalizar la política de operación del Área de Seguridad, Control y Movilidad. </t>
  </si>
  <si>
    <t>PolÍtica formalizada</t>
  </si>
  <si>
    <t>Informe de Formalización</t>
  </si>
  <si>
    <t>Con oficio 5.4.4.52.5/2324 del 16/11/2022 el Área de Seguridad, Control y Movilidad remitió los avances del Plan de Mejoramiento, refiriendo los documentos tendientes a la publicación de la Política de Operación de Transporte, la cual se encuentra publicada en el Programa Lvmen del Sistema de Gestión de la Calidad.
La OCI asigna avance del 100%</t>
  </si>
  <si>
    <t xml:space="preserve">Socializar la política de operación del Área de Seguridad, Control y Movilidad </t>
  </si>
  <si>
    <t>PolÍtica socializada</t>
  </si>
  <si>
    <t>Actas reunión, registros fotográficos</t>
  </si>
  <si>
    <t xml:space="preserve">Con oficio 5.4.4.52.5/2324 del 16/11/2022 el Área de Seguridad, Control y Movilidad remitió los avances del Plan de Mejoramiento, refiriendo los registros de socialización de la Política de Operación de Transporte.
La OCI asigna avance del 100%. </t>
  </si>
  <si>
    <t xml:space="preserve">Implementar la política de operación del Área de Seguridad, Control y Movilidad.  </t>
  </si>
  <si>
    <t>PolÍtica implementada</t>
  </si>
  <si>
    <t>Registros del proceso y Actas reunión</t>
  </si>
  <si>
    <t xml:space="preserve">Con oficio 5.4.4.52.5/2324 del 16/11/2022 el Área de Seguridad, Control y Movilidad remitió los avances del Plan de Mejoramiento, refiriendo los registros de implementación de la Política visible en la programación y desarrollo de servicios.
La OCI asigna avance del 100%. </t>
  </si>
  <si>
    <t>Verificar semestralmente el cumplimiento de política de operación del Área de Seguridad, Control y Movilidad.</t>
  </si>
  <si>
    <t>PolÍtica evaluada</t>
  </si>
  <si>
    <t xml:space="preserve">Informe de evaluación. </t>
  </si>
  <si>
    <t>Con oficio 5.4.4.52.5/2324 del 16/11/2022 el Área de Seguridad, Control y Movilidad remitió los avances del Plan de Mejoramiento, refiriendo los registros de socialización de la Política de Operación de Transporte.
La OCI asigna avance del 100%.
Recomendación: Continuar los espacios de socialización de la Política de Operación, con miras a lograr su interiorización e implementación integral</t>
  </si>
  <si>
    <t>La documentación del procedimiento no guía la operación por deficiencias de orden técnico en su construcción.</t>
  </si>
  <si>
    <t>Deficiencia en la elaboración de los procedimientos del subproceso, en cuanto a la determinación del responsable, alcance, marco normativo, actividades y puntos de control.</t>
  </si>
  <si>
    <t>Revisar y actualizar del procedimiento servicio de transporte</t>
  </si>
  <si>
    <t>Procedimiento de servicio de transporte revisado y ajustado</t>
  </si>
  <si>
    <t>Supervisor, técnico administrativo y contratista de apoyo del área de seguridad, control y movilidad</t>
  </si>
  <si>
    <t>Formato de modificación de procedimiento actualizado</t>
  </si>
  <si>
    <t xml:space="preserve">Se está adelantando un nuevo ajuste al procedimiento para actualizar marco legal, nueva ley de seguridad víal, y las normas ambientales para la emisión de gases. Se recomendó prever en la política lo relacionado con las políticas ambientales.
No hay protocolos en el evento de accidentes vehiculares.
Para validar el procedimiento se verifican las actividades y puntos de control N°13 relacionado con el suministro de combustible. Se partió del contrato de suministro N°5.5-31.6/011 de 2022, por valor de 100 millones. Sobre su ejecución se cuenta con información corte 08/04/2022, no está actualizado corte junio de 2022. Respecto de la conciliación de la información con la Estación de Gasolina se está realizando con periodicidad trimestral, se recomienda revisar esta actividad, el punto de control y prever correctivos inmediatos. Sobre esta actividad se concluye inefectividad.
También se verifica actividad N°13 PA-GA-5.4.4-OD-1 verificación 04-03-2022 sin firma vigilante conductor Fabricio Rivera, sin firma conductor Frey velasco
Reporte novedades, sin la firma del técnico administrativo.
Sin registro del uso del equipo de alcolemia,
11-03-22 cesar leon Cerón no firma el vigilante. Angel Hernando Ceron hIDALGO, sin diligencia formato Popy-santander de Q.
Corte marzo del 2022 el equipo de alcolemia está fuera de servicio. Verificado 10/06/2022. Continua fuera de servicio equipo de alcoholemia. </t>
  </si>
  <si>
    <t>Se evidencian ajustes al procedimiento.
La OCI recomienda requerir al Centro de Gestión de la Calidad y Acreditación Institucional el concepto técnico de aprobación de la modificación y formalizar su publicación
Avance: 100%</t>
  </si>
  <si>
    <t>se realizó una sesión de trabajo en el Área de Seguridad, Control y Movilidad para el diagnóstico y actualizacion del servicio de transporte con acta 5.4.4-1.56/009 el 2-11-2022</t>
  </si>
  <si>
    <t>Evaluar y Ajustar el procedimiento Servicio de Transporte PA-GA-5.4.4-PR-1 con el fin de garantizar una correcta prestación del servicio de transporte.</t>
  </si>
  <si>
    <t>Formalizar de los ajustes realizados en el procedimiento servicio de transporte</t>
  </si>
  <si>
    <t>Procedimiento servicio de transporte ajustado, formalizado</t>
  </si>
  <si>
    <t>Formato de modificación de procedimiento documentado</t>
  </si>
  <si>
    <t xml:space="preserve">Con oficio 5.4.4.52.5/2324 del 16/11/2022 el Área de Seguridad, Control y Movilidad remitió los avances del Plan de Mejoramiento, refiriendo la actualización y publicación del procedimiento.
La OCI asigna avance del 100%. </t>
  </si>
  <si>
    <t xml:space="preserve">Se verifico en la plataforma Lvmen y el PA-GA-5.4.4-PR-1 “Proceso de Apoyo
Gestión de la Seguridad y Movilidad
Servicio de Transporte” versión 4 tiene una fecha de actualización del 05-10-2021, por lo que la solicitud de organizar el procedimiento al ciclo PHVA del 7-10-2022 no ha sido ejecutada 
</t>
  </si>
  <si>
    <t>Socializar semestralmente el procedimiento ajustado y actualizado con los funcionarios involucrados en el servicio de transporte</t>
  </si>
  <si>
    <t>Procedimiento servicio de transporte ajustado socializado</t>
  </si>
  <si>
    <t>Actas de reunión de socialización, registro de asistencias, registro fotográfico</t>
  </si>
  <si>
    <t>Hay evidencias de socialización, por ejemplo, el oficio 5.1-52/573 o la capacitación que se llevo a cabo en la facultad de FCCEA “socialización política de Operación de transporte Unicauca”</t>
  </si>
  <si>
    <t>Inexistencia de protocolos e inaplicación de procedimientos de control de movilización de los vehículos, en garantía de calidad y seguridad en el servicio</t>
  </si>
  <si>
    <t>Deficiencia en la aplicación de los controles para la salida de los vehículos, en garantía de calidad y seguridad del servicio del subproceso.</t>
  </si>
  <si>
    <t>Documentar y evaluar la aplicación del protocolo referente a la movilización de los vehículos, garantía de la calidad y seguridad del servicio.</t>
  </si>
  <si>
    <t>Elaborar el protócolo para el control de salida de los vehículos, en garantía de la calidad y la seguridad del servicio.</t>
  </si>
  <si>
    <t>Protocolos elaborado</t>
  </si>
  <si>
    <t xml:space="preserve">Protocolo documentado </t>
  </si>
  <si>
    <t>0,8</t>
  </si>
  <si>
    <t xml:space="preserve">Con oficio 5.4.4.52.5/2324 del 16/11/2022 el Área de Seguridad, Control y Movilidad remitió los avances del Plan de Mejoramiento, refiriendo el protocolo para el control de salida de los vehículos, código PA-GA-5.4.4-PT-1, Versión: 1; publicado en el programa Lvmen del Sistema de Gestión de la Calidad.
La OCI asigna avance del 100%. </t>
  </si>
  <si>
    <t xml:space="preserve">Con las observaciones de procedimiento. </t>
  </si>
  <si>
    <t>se verifico el diseño presentado en las evidencias del drive</t>
  </si>
  <si>
    <t xml:space="preserve">Formalizar el protocolo y articularlo con el Procedimiento Servicio de Transporte PA-GA-5.4.4-PR-1. </t>
  </si>
  <si>
    <t>Protocolo formalizado</t>
  </si>
  <si>
    <t>Formato  PE-GS-2.2.1 documentado</t>
  </si>
  <si>
    <t xml:space="preserve">on oficio 5.4.4.52.5/2324 del 16/11/2022 el Área de Seguridad, Control y Movilidad remitió los avances del Plan de Mejoramiento, refiriendo el protocolo para el control de salida de los vehículos, código PA-GA-5.4.4-PT-1, Versión: 1; publicado en el programa Lvmen del Sistema de Gestión de la Calidad.
La OCI asigna avance del 100%. </t>
  </si>
  <si>
    <t xml:space="preserve"> Se verifico en la plataforma Lvmen y el PA-GA-5.4.4-PR-1 “Proceso de Apoyo
Gestión de la Seguridad y Movilidad
Servicio de Transporte” versión 4 tiene una fecha de actualización del 05-10-2021, por lo que la solicitud de organizar el procedimiento al ciclo PHVA del 7-10-2022 no ha sido ejecutada 
</t>
  </si>
  <si>
    <t xml:space="preserve">Socializar el protocolo y el chequeo diario de inspección para garantizar su aplicación.  </t>
  </si>
  <si>
    <t>Protocolo socializado</t>
  </si>
  <si>
    <t xml:space="preserve">Actas reunión, registros asistencia, registros fotográficos. </t>
  </si>
  <si>
    <t xml:space="preserve">Con oficio 5.4.4.52.5/2324 del 16/11/2022 el Área de Seguridad, Control y Movilidad remitió los avances del Plan de Mejoramiento, refiriendo el oficio  5.4.4-52/2219 del  10/09/2019, registros de asistencia de la capacitación sobre la Política de Operación realizada el 25/10/2021 con las temáticas abordadas.
La OCI con base en la evidencia suminsitrada asigna avance del 80%, sujeto a nuevos ejercicios de socialización del protocolo con el personal responsable. </t>
  </si>
  <si>
    <t xml:space="preserve">Mediante correo electrónico del 22/12/2022 el Área de Transporte adjunta las evidencias en la carpeta 3 protocolos- 3.3- Socialización del protocolo en la que los registros de evidencias coinciden con el reporte del I semestre del 2022.
Se evidencia que se mantiene la información visible sobre la circular 5.24-221/1432 de 24 de mayo de 2022, publicada en la pagina web institucional en la que hace referencia a tiempos de solicitud y descanso de los vehículos y conductores, así mismo los protocolos para el control de salida de vehículos PA-GA-5.4.4-PT-1 y Chequeo Diario de Inspección Sensorial – Vehicular PA-GA-5.4.4-OD-1
</t>
  </si>
  <si>
    <t>Implementar el protocolo y el chequeo diario de inspección</t>
  </si>
  <si>
    <t>protocolos implementado</t>
  </si>
  <si>
    <t xml:space="preserve">Lista de chequeo diario. </t>
  </si>
  <si>
    <t>30/05/2019</t>
  </si>
  <si>
    <t xml:space="preserve">Con oficio 5.4.4.52.5/2324 del 16/11/2022 el Área de Seguridad, Control y Movilidad remitió los avances del Plan de Mejoramiento, refiriendo los registros de aplicación del protócolo y de la herramienta de chequeo diario de inspección sensorial vehicular. </t>
  </si>
  <si>
    <t>se implementó el formato PA-GA-5.4.4-FOR-8 “Acta de Verificación Básica de Dotación de Vehículos”</t>
  </si>
  <si>
    <t xml:space="preserve">Verificar con periodicidad la implementación del protocolo y el chequeo diario </t>
  </si>
  <si>
    <t>Protocolo evaluado</t>
  </si>
  <si>
    <t xml:space="preserve">Acta de verificación de implementación del protocolo. </t>
  </si>
  <si>
    <t xml:space="preserve">Se realizo una verificación en las fechas: 13/02/2023, 27/02/2023 y 30/05/2023 del PA-GA-5.4.4-FOR-8 “Acta de Verificación Básica de Dotación de Vehículos” pero no se tiene una periodicidad definida. 
El control diario se raliza por parte del personal encargado y bajo una lista de chequeo adherida al formato de solicitud de vehiculo, por ultimo al momento de que el carro va a salir del area el vigilante revisa los documentos y elementos del vehiculo y se encarga de la salida </t>
  </si>
  <si>
    <t>Vehículos sin equipos ni elementos de dotación básica</t>
  </si>
  <si>
    <t>.. Débil  gestión de los documentos de control de la dotación básica  de los vehículos del parque automotor</t>
  </si>
  <si>
    <t>Fortalecer los controles para el cumplimiento de los elementos básicos de los vehículos, a través de herramientas tecnológicas y operativas</t>
  </si>
  <si>
    <t>Elaborar un calendario de programación y seguimiento a la calidad de los elementos de dotación básica de los vehículos..</t>
  </si>
  <si>
    <t>Calendario elaborado</t>
  </si>
  <si>
    <t>Coordinador transporte</t>
  </si>
  <si>
    <t xml:space="preserve">Calendario </t>
  </si>
  <si>
    <t>Con 5.4.4-92/0604 del 08/03/2022 enviado al Área de Seguridad y Control y Movilidad por el cual se solicita recarga de extintores del parque automotor y el suministro de elementos de los botiquines para cada vehiculo.
Acta de entrega 12 extintores a vehiculos 06 al 18 de abril de 2022.  Formato FOR 32 que registra al entrega de los elementos de botiquín y seguridad.
Se menciona que el señor Hugo Vásquez está encargado de esta verificación, a través de los formatos aprobados. En la fecha de visita no consta su diligenciamiento periódico, el cual se ha realizado en una única vez. Los registros no están debidamente archivados.
Se menciona que el Área debe analizar si las actividades que están planteadas no son necesarias en su integralidad, reformarlas conservando el propósito de la mejora, teniendo como precedente la dotación actual por el Área de Seguridad.</t>
  </si>
  <si>
    <t xml:space="preserve">No se reporta información sobre el avance de esta actividad. </t>
  </si>
  <si>
    <t xml:space="preserve"> Se verifico el calendario en el drive de evidencias reportado por el Área de Seguridad, Control y Movilidad, evidenciando su constante retroalimentación </t>
  </si>
  <si>
    <t>Verificar el cumplimiento de la dotación básica de los vehículos a través de la lista de chequeo.</t>
  </si>
  <si>
    <t>Dotación verificada</t>
  </si>
  <si>
    <t>Listas de chequeo</t>
  </si>
  <si>
    <t xml:space="preserve">Se creó en la plataforma Google el calendario para visualizar la programación de los horarios para conductores, fechas de mantenimientos preventivos y correctivos, cronogramas con el detalle de uso de los elementos de los automotores a una vigencia programada. 
- En el portal web Institucional-banner “solic.mantenimiento” se encuentra el ingreso al “Eplux” que permite interactuar en tiempo real con el personal en lo relativo al flujo de la información sobre reportes de mantenimiento para realizar ajustes a los automotores, con el registro online del histórico del uso por el personal y condiciones de los vehículos
</t>
  </si>
  <si>
    <t xml:space="preserve"> Se realizo una verificación en las fechas: 13/02/2023, 27/02/2023 y 30/05/2023 del PA-GA-5.4.4-FOR-8 “Acta de Verificación Básica de Dotación de Vehículos” pero no se tiene una periodicidad definida. 
El control diario se raliza por parte del personal encargado y bajo una lista de chequeo adherida al formato de solicitud de vehiculo, por ultimo al momento de que el carro va a salir del area el vigilante revisa los documentos y elementos del vehiculo y se encarga de la salida </t>
  </si>
  <si>
    <t>Revisar permanentemente cumplimiento de la dotación básica de los vehículos a través la coordinación de área se seguridad, control y movilidad.</t>
  </si>
  <si>
    <t>Controles quincenales realizados</t>
  </si>
  <si>
    <t xml:space="preserve">Acta de verificación </t>
  </si>
  <si>
    <t>0,2</t>
  </si>
  <si>
    <t xml:space="preserve"> El control diario se realiza por parte del personal encargado y bajo una lista de chequeo adherida al formato de solicitud de vehículo, por último, al momento de que el carro va a salir del área el vigilante revisa los documentos y elementos del vehículo y se encarga de la salida </t>
  </si>
  <si>
    <t xml:space="preserve">La información que arrojan las diversas fuentes, relativa al servicio de transportes es inconsistente, incompleta y confusa, lo que genera una incertidumbre que impide la buena gestión. </t>
  </si>
  <si>
    <t>Controles inefectivos en la ejecución de  los recursos económicos asignados para el contrato de suministro.</t>
  </si>
  <si>
    <t>Fortalecer lo controles aplicados ejecución de  los recursos económicos asignados para los contratos de suministro.</t>
  </si>
  <si>
    <t>Diseñar e implementar herramienta de control, seguimiento y administración de  los recursos económicos asignados para los contratos de suministro.</t>
  </si>
  <si>
    <t>Herramienta diseñada e implementada</t>
  </si>
  <si>
    <t>Coordinador de trasporte, contratista de apoyo.</t>
  </si>
  <si>
    <t>Herramienta implementada</t>
  </si>
  <si>
    <t xml:space="preserve">REVISAR CON LO DE CONTRATO DE SUMINISTRO. NO ES EFECTIVO. </t>
  </si>
  <si>
    <t xml:space="preserve">-Actualmente hay un nuevo proveedor con un amplio portafolio de servicios: Inversav S.A, según el contrato de suministro N° 5.5-31.6/059 de 2022, vigente alhasta el 31/12/2022, con el objeto: Suministro de combustibles (Gasolina corriente y diesel), filtros, aceites, refrigerantes y úrea vehicular para los vehículos del parque automotor, plantas eléctricas y otros equipos y maquinaria de la Universidad del Cauca. 
- se utiliza un medidor proporcionado por el proveedor del combustible según un chip regulador en cada vehículo. 
-Se hace control de consumo general, lubricantes y combustibles en los vehículos por medio de la matriz de control de consumo de combustibles, que discrimina por galón/kilometro y se parametriza el consumo con indicadores en carretera, ciudad y rural, con controles individuales específicos por área y por vehículo. 
</t>
  </si>
  <si>
    <t xml:space="preserve"> Se implementa el control por medio de la emisión de unos bales con un valor determinado y pactado previamente entre funcionarios y el profesional administrativo, en caso de haber diferencia en la operación se reporta con la comanda de la estación de servicio; hay evidencia de recibos por parte de los conductores, de la comanda de la estación de servicio y lo emitido y autorizado desde el Área </t>
  </si>
  <si>
    <t>Diseñar  indicadores para medir la utilización de recursos necesarios para el correcto desarrollo de actividades de transporte y movilidad</t>
  </si>
  <si>
    <t>Indicadores establecidos</t>
  </si>
  <si>
    <t>Indicadores documentados</t>
  </si>
  <si>
    <t>Se verifico el control efectivo que se lleva con el nuevo taller “Valencia Autos” y el cruce de información entre comandas de reparaciones por parte del taller, repuestos cambiados devueltos e información presentada por el Área</t>
  </si>
  <si>
    <t>La gestión documental no cumple con las disposiciones generales e internas que regulan la materia.</t>
  </si>
  <si>
    <t>Incorrecta aplicación de las políticas de gestión documental del área de seguridad, control y movilidad.</t>
  </si>
  <si>
    <t>Organizar el archivo del subproceso, acorde con las normas, políticas y procedimientos vigentes de gestión documental.</t>
  </si>
  <si>
    <t>Organizar el archivo conforme a los parámetros de la gestión documental vigentes</t>
  </si>
  <si>
    <t>Archivo organizado</t>
  </si>
  <si>
    <t>Responsable de la organización y custodia del archivo</t>
  </si>
  <si>
    <t>Acta de seguimiento de organización del archivo, registro fotográfico.</t>
  </si>
  <si>
    <t>0,7</t>
  </si>
  <si>
    <t xml:space="preserve">Muestreo aleatorio del archivo de gestión vigencio 2022:
-	5.44-64.7 orden de viaje, de la vigencia 2022, organizada de manera cronologíca, perforación y numero de folios adecuado, total de carpetas 10
-	Certificado 5.4.4-20.8 certificado de supervisoría organizada de manera cronológica, perforación y numero de folios adecuado, total de carpetas 1
-	5.4.4-92.1 solicitud avances o viáticos organizada de manera cronológica, perforación y numero de folios adecuado, total de carpetas 1, sin identificación de serie y subserie en el rotulo 
-	5.4.4-1.56 actas de reunión organizada de manera cronológica, perforación y numero de folios adecuado, total de carpetas. 
</t>
  </si>
  <si>
    <t xml:space="preserve">El legajo solicitud de servicios subserie 5.4.4-92.8 del 2018, excede el número de tipos documentales (341) y utiliza como base de control de documentos y referencia una lista no oficial.
El legajo solicitud de servicios 2019, no se encuentra identificado, carece de indice, sin foliación y excede los 200 folios.
El legajo 5.4.4/12.1 del 29 de enero 2019 de asignación de turnos. Se motiva con un manual de funciones versión 2009.
Solicitud de préstamo de vehiculo requiere la firma del Jefe División que implica revisar 5 tipos documentales.
El formato de orden de viaje no se encuentra firmado por el responsable del viaje, en tanto el conductor no sale del automotor con la persona que requiere el servicio.
Para los servicios de transporte de la VRI, no reposa el formato de avance en tanto los recursos de tramitan desde la VRI.
COMPROMISO: Fijar un plan de trabajo para organización integral del archivo de gestión. Con metas y términos de cumplimiento. </t>
  </si>
  <si>
    <t>Sin evaluar efectividad por no cumplir un avance superior al 90%</t>
  </si>
  <si>
    <t>Realizar seguimiento de organización del archivo y de la gestión documental acorde con la normatividad vigente</t>
  </si>
  <si>
    <t>Acta diseñada e implementada</t>
  </si>
  <si>
    <t>Registro de asistencia</t>
  </si>
  <si>
    <t xml:space="preserve">
Corte diciembre 2021: No se reporta información sobre el avance de esta actividad. </t>
  </si>
  <si>
    <t>Asistir a las jornadas de capacitación de correcto uso de las políticas y procedimientos de gestión documental.</t>
  </si>
  <si>
    <t>Mapa de Riesgos del proceso</t>
  </si>
  <si>
    <t xml:space="preserve">Capacitaciones realizadas. </t>
  </si>
  <si>
    <t xml:space="preserve">No se encuentran identificados los riesgos de gestión y corrupción para el subproceso de gestión de seguridad y movilidad </t>
  </si>
  <si>
    <t>La gestión del riesgo no ha sido considerada como un componente estratégico para la gestión del servicio de transporte.</t>
  </si>
  <si>
    <t>Identificar los riesgos de gestión y corrupción para el subproceso.</t>
  </si>
  <si>
    <t>Gestionar los riesgos de corrupción y gestión del servicio de transporte.</t>
  </si>
  <si>
    <t xml:space="preserve">Riesgos gestionados </t>
  </si>
  <si>
    <t>Coordinador de transporte</t>
  </si>
  <si>
    <t>Solicitud de diagnóstico.</t>
  </si>
  <si>
    <t>No hay avance en la administración del riesgo. Se recomienda solicitar la intervención de la OPDI. G</t>
  </si>
  <si>
    <t xml:space="preserve">
-se tipificó el riesgo como corrupción y se gestionó en cuanto al mismo la matriz de riesgos, con el acompañamiento de la OPDI el día 12/12/2022 se reviso el riesgo del area de transporte, según registro PE -GE-2.54 FOR 59, notificado a través de correo electrónico en la misma fecha por la o matriz gestión de riesgos.</t>
  </si>
  <si>
    <t xml:space="preserve">Relaciones conflictivas de los universitarios </t>
  </si>
  <si>
    <t>Estrés laboral, no desarrollo de actividades que mejoren el clima laboral</t>
  </si>
  <si>
    <t>Gestionar la intervención del Área de seguridad y salud en el trabajo</t>
  </si>
  <si>
    <t>Solicitar diagnostico al área de seguridad y salud en el trabajo</t>
  </si>
  <si>
    <t>Solicitud realizada</t>
  </si>
  <si>
    <t>Coordinador de Área de Seguridad, Control y Movilidad - área de seguridad y salud en el trabajo</t>
  </si>
  <si>
    <t>Acta de seguimiento a las acciones realizadas</t>
  </si>
  <si>
    <t>Cumple</t>
  </si>
  <si>
    <t xml:space="preserve"> -Capacitación sobre el tema de horas extras-oficio 5.4.4-1.56/1366 del 17-05-2022.  
-evidencia de socialización de la política y operación de transporte 5.4.4-12.1/1667 del 14.-06-2022-  por parte de la -evidencia de reiteración de políticas de transporte 5.4.4-52.5/2279 del 02-8-2022. 
-Con oficio 5.4.4-92.8/0028 “solicitud evaluación clima laboral” del 13/12/2022 dirigido al area de segurid y salud en el trabjo se solicita un nuevo diagnostico al clima laboral del subproceso de movilidad
- en diciembre del 2022 se realizo un nuevo diagnostico de riesgo psicosocial en el area cuyo resultados se encuentran en proceso en el area de seguridad y salud en el trabajo 
</t>
  </si>
  <si>
    <t xml:space="preserve">Con oficio 5.4.4.52.5/2324 del 16/11/2022 el Área de Seguridad, Control y Movilidad remitió los avances del Plan de Mejoramiento, refiriendo el Informe de Evaluación del Clima Laboral emitido por el Área de Seguridad y Salud en el Trabajo.
La OCI asigna avance del 100%. </t>
  </si>
  <si>
    <t> Se va a solicitar al Área de seguridad y salud en el trabajo una intervención conjunta para promover un mejor convivir laboral</t>
  </si>
  <si>
    <t>Realizar seguimiento a los correctivos que se deban implementar por el área de seguridad y salud en el trabajo</t>
  </si>
  <si>
    <t>Seguimiento realizado</t>
  </si>
  <si>
    <t>Coordinador de Área de Seguridad, Control y Movilidad - Área de seguridad y salud en el trabajo</t>
  </si>
  <si>
    <t xml:space="preserve">-Capacitación sobre el tema de horas extras-oficio 5.4.4-1.56/1366 del 17-05-2022.  
-evidencia de socialización de la política y operación de transporte 5.4.4-12.1/1667 del 14.-06-2022-  por parte de la -evidencia de reiteración de políticas de transporte 5.4.4-52.5/2279 del 02-8-2022. 
-Con oficio 5.4.4-92.8/0028 “solicitud evaluación clima laboral” del 13/12/2022 dirigido al area de segurid y salud en el trabjo se solicita un nuevo diagnostico al clima laboral del subproceso de movilidad
- en diciembre del 2022 se realizo un nuevo diagnostico de riesgo psicosocial en el area cuyo resultados se encuentran en proceso en el area de seguridad y salud en el trabajo 
</t>
  </si>
  <si>
    <t>Con oficio 5.4.4.52.5/2324 del 16/11/2022 el Área de Seguridad, Control y Movilidad remitió los avances del Plan de Mejoramiento, refiriendo los informes de acciones para mejorar el clima laboral con oficio 5.4.5.64/1357 del 10/08/2021.
La OCI evidencian que el oficio precitado concluye el cierre del seguimiento a las acciones de mejora derivadas de la evaluación al clima laboral, lo cual no es consistente con las observaciones identificadas por el Área de Seguridad y Salud en el Trabajo.
Se asigna avance del 50%, sujeto a la continuidad de las acciones tenientes al mejoramiento del clima laboral.</t>
  </si>
  <si>
    <t xml:space="preserve"> Pendiente del ejercicio con área de seguridad y salud en el trabajo para implementar controles </t>
  </si>
  <si>
    <t>4,2</t>
  </si>
  <si>
    <t>37,08%</t>
  </si>
  <si>
    <t>30/12/2023</t>
  </si>
  <si>
    <t>PLAN DE MEJORAMIENTO ARCHIVO HISTÓRICO</t>
  </si>
  <si>
    <t>Instrumentos de descripción. No se cuenta con instrumentos de descripción a nivel de catálogo e índices, para el fondo documental Carlos Albán, y el denominado “Archivo Inactivo”</t>
  </si>
  <si>
    <t>Aplicar los instrumentos de descripción necesarios para catálogar y controlar las unidades documentales del fondo "archivo inactivo"</t>
  </si>
  <si>
    <t>Catalogar un 30% del total de la documentación perteneciente al fondo "Archivo Inactivo".</t>
  </si>
  <si>
    <t>Fichas de catalogación de la documentación perteneciente al "archivo inactivo"</t>
  </si>
  <si>
    <t xml:space="preserve">Equipo de trabajo para catalogación y Dirección Archivo Histórico </t>
  </si>
  <si>
    <t>Registros de catalogación. 
Informes mensuales, catálogos con la información indexada.</t>
  </si>
  <si>
    <t>Se realizó la limpieza a ciento cuarenta y cuatro (155) paquetes, embalados en doscientas dos (219) cajas, a la fecha, se han catalogados los 92 paquetes; ingresaron al catálogo seiscientas cinco (605) signaturas que según su temática y temporalidad se ubicaron en el fondo "Antiguo Archivo Central Del Cauca” Sección “República” - (Periodo enero a junio de 2023). Expuesto lo anterior, determina el cumplimiento del 100% de la actividad propuesta. Lo anterior se puede verificar en los catálogos donde se encuentran las signaturas ya incorporadas, link: 
http://www.unicauca.edu.co/versionP/Servicios/Archivo%20Hist%C3%B3rico/Cat%C3%A1logo
 Se remiten fotografías aleatorias de cajas en los archivos llamados: 
H1 ACCION 1 T1 MUESTRA CAJA QUE CONTIENEN LAS SIGNATURAS CATALOGADAS FONDO REPÚBLICA ENERO - JUNIO 2023
H1 ACCION 1 T1 PAQUETES EMBALADOS DEL ARCHIVO INACTIVO   ENERO - JUNIO 2023
Archivo PDF llamado:
H1 ACCION 1 T1 CONSOLIDADO DE LA DOCUMENTACION CLASIFICADA EN LA SECCION REPÚBLICA DEL FONDO ACC ENERO-JUNIO 2023</t>
  </si>
  <si>
    <t>Se determina el cumplimiento del 100% de la actividad propuesta. Teniendo en cuenta que la Institución fijó una meta de catalogación del 30% del total de la documentación perteneciente al fondo "Archivo Inactivo".
Se resalta que la Universidad, pese a que el hallazgo se da como superado, al cumplir con la meta establecida, continuará con la catalogación del total de la documentación perteneciente al fondo Archivo Inactivo.</t>
  </si>
  <si>
    <t>Gestionar la consecución de las carpetas con alas para el embajalaje de los tipos documentales a los que se les ha aplicado la técnica de limpieza.</t>
  </si>
  <si>
    <t>Aplicar los instrumentos de descripción necesarios para catálogar y controlar las unidades documentales del fondo "Carlos Albán"</t>
  </si>
  <si>
    <t>Catalogación del fondo Carlos Albán</t>
  </si>
  <si>
    <t>Catálogo de la documentación perteneciente al fondo "Carlos Albán"</t>
  </si>
  <si>
    <t>Dirección Archivo Histórico, Oficina de las TIC´s y Centro de Gestión de las Comunicaciones de la Universidad del Cauca</t>
  </si>
  <si>
    <t>Registros de catalogación con la información indexada.</t>
  </si>
  <si>
    <t xml:space="preserve">
Durante el periodo comprendido entre enero a junio de 2023, se actualizaron setecientas cincuenta y ocho (758) signaturas.
De lo anterior se concluye que del universo de 4657 signaturas que tiene el Fondo Carlos Albán se han actualizado tres mil seiscientas treinta (3630) fichas.
Ver archivos : 
H1 ACCION 2 M1 FICHAS DOCUMENTOS CARLOS ALBAN 3630
30/12/2023: Durante el periodo comprendido entre julio y diciembre de 2023, se actualizaron mil veintisiete (1027) signaturas.
El fondo fue clasificado en su totalidad y lo conforman cuatro mil setecientos cincuenta y dos (4752) documentos.
Ver archivos : 
H1 ACCION 2 M1 TOTAL FICHAS DOCUMENTOS CARLOS ALBAN</t>
  </si>
  <si>
    <t>La Institución continuó con la actualización y completó las 4657 signaturas (Informe N° 12 AGN)</t>
  </si>
  <si>
    <t>Digitalización del catálogo del fondo Carlos Albán</t>
  </si>
  <si>
    <t>Catálogo en físico y en digital del fondo Carlos Albán</t>
  </si>
  <si>
    <t>Catálogo del fondo Carlos Albán impreso disponible para consulta. 
Publicación en la página web de la Universidad del Cauca del catálogo del fondo Carlos Albán</t>
  </si>
  <si>
    <t xml:space="preserve">
Durante el periodo comprendido entre enero a junio de 2023, se actualizaron setecientas cincuenta y ocho (758) signaturas.
De lo anterior se concluye que del universo de 4657 signatiras que tiene el Fondo Carlos Albán se han actualizado tres mil seiscientas treinta (3630) fichas.
Ver archivo y link con el catálogo publicado en la página web de la Universidad del Cauca: 
H1 ACCION 2 M1 FICHAS DOCUMENTOS CARLOS ALBAN 3630
http://www.unicauca.edu.co/versionP/Servicios/Archivo%20Hist%C3%B3rico/Cat%C3%A1logo
Durante el periodo comprendido entre julio y diciembre de 2023, se actualizaron mil veintisiete (1027) signaturas, 
El fondo fue clasificado en su totalidad y lo conforman cuatro mil setecientos cincuenta y dos (4752) documentos.
Ver archivo y link con el catálogo publicado en la página web de la Universidad del Cauca: 
H1 ACCION 2 M1 TOTAL FICHAS DOCUMENTOS CARLOS ALBAN
https://portal.unicauca.edu.co/versionP/sites/default/files/files/Archivo_historico/FONDO_GENERAL_CARLOS_ALBAN_ESTUPI%C3%91AN.pdf </t>
  </si>
  <si>
    <t>Conservación de Documentos. No se cumple con los lineamientos definidos en el Acuerdo No. 049 del 5 de mayo del 2000.  Acuerdo No. 050 de 5 de mayo del 2000 y el acuerdo N° 005 del 15 de octubre de 2014, para conservación documental</t>
  </si>
  <si>
    <t>Controlar los niveles de temperatura y humedad relativa dentro de los rangos establecidos para conservación de documentación histórica</t>
  </si>
  <si>
    <t>Aplicar el proceso de conservación y presevación a la documentación del "Archivo Inactivo</t>
  </si>
  <si>
    <t>Adquisición de herramientas tecnológicas que permitan medir la temperatura y humendad relativa de los depositos, asi como el material de archivo necesario para la proteccion del acervo documental.</t>
  </si>
  <si>
    <t>Dirección Archivo Histórico Centro de Investigaciones Históricas José Ma. Arboleda Llorente y funcionarios encargados.</t>
  </si>
  <si>
    <t>Documentos que soportan el trámite para la adquisición de herramientas tecnológicas que permitirán la medición de la temperatura y humendad relativa de los depósitos</t>
  </si>
  <si>
    <r>
      <t>De acuerdo a la visita de septiembre de 2016 del AGN al Archivo Histórico José Maria Llorente en la que se solicitaba la instalación de más desumidificadores en los depósitos donde se guarda la documentación, el  día 10 de septiembre de 2019 se instalaron  ocho (8) deshumificadores de 350 m</t>
    </r>
    <r>
      <rPr>
        <vertAlign val="superscript"/>
        <sz val="11"/>
        <color rgb="FF000000"/>
        <rFont val="Arial"/>
        <family val="2"/>
      </rPr>
      <t>3</t>
    </r>
    <r>
      <rPr>
        <sz val="11"/>
        <color rgb="FF000000"/>
        <rFont val="Arial"/>
        <family val="2"/>
      </rPr>
      <t xml:space="preserve"> y seis (6) deshumificadores de 180 m</t>
    </r>
    <r>
      <rPr>
        <vertAlign val="superscript"/>
        <sz val="11"/>
        <color rgb="FF000000"/>
        <rFont val="Arial"/>
        <family val="2"/>
      </rPr>
      <t>3</t>
    </r>
    <r>
      <rPr>
        <sz val="11"/>
        <color rgb="FF000000"/>
        <rFont val="Arial"/>
        <family val="2"/>
      </rPr>
      <t xml:space="preserve">  para controlar la humedad de los depósitos donde reposan los documentos del Archivo Histórico.  Avance 100%
 Ver archivo denominado " H2 accion 3 M2 Rpte Temperatura Humedad I trimestre 2020".</t>
    </r>
  </si>
  <si>
    <t>Al momento de la visita:
Los deshumificadores estan en uso en cada una de las salas del Archivo</t>
  </si>
  <si>
    <t>Medir el porcentaje de humedad relativa y grados de temperatura en las salas de almacenaje de los documentos del Centro de Investigaciones Históricas José María Arboleda Llorente</t>
  </si>
  <si>
    <t>Adquisición de  dataloggers para medir la humedad relativa  y la  temperatura en las salas de almacenaje de los documentos del Centro de Investigaciones Históricas José María Arboleda Llorente</t>
  </si>
  <si>
    <t>Encargados de los depósitos de la documentación histórica. Oficina de Planeación Universidad del Cauca</t>
  </si>
  <si>
    <t>Registros de la medición de la temperatura y humedad relativa en cada uno de los depósitos que resguardan la documentación histórica.</t>
  </si>
  <si>
    <t xml:space="preserve">
  Desde la instalación de los dataloggers se han realizado mediciones diarias con intervalos de dos horas en cada depósito del archivo 
Ver archivo denominado " H2 ACCIÓN 3 M2  REPORTES DE MEDICIÓN TEMPERATURA Y HUMEDAD I TRIMESTRE 2020</t>
  </si>
  <si>
    <t>Al momento de la visita:
Los dataloggers estan en servicio en cada una de las salas.</t>
  </si>
  <si>
    <t>Se gestionó por la Directora del archivo Histórico la adquisión de las baterias para  los dataloggers y se logró la medición de la temperatura y humedad  de los diferentes depósitos del Archivo Histórico.</t>
  </si>
  <si>
    <t>Continuar con el control de los factores ambientales relativos a la humedad en las salas de almacenaje de los documentos del Centro de Investigaciones Históricas José María Arboleda Llorente</t>
  </si>
  <si>
    <t>Adquisición de deshumificadores adicionales para  estabilizar la humedad ambiental en las salas de almacenaje de los documentos del Centro de Investigaciones Históricas José María Arboleda Llorente</t>
  </si>
  <si>
    <t>Temperatura y humedad dentro de los rangos estimados para conservación de documentación histórica.</t>
  </si>
  <si>
    <t>Diariamente (cada dos horas) se realizó la medición de temperatura y humedad relativa, a los depósitos que contienen documentación Histórica.
En los valores de dichas mediciones y las gráficas derivadas de las mismas, se observó que  los depósitos presentaron rangos estables de temperatura y humedad relativa dentro de los parámetros establecidos en el acuerdo 049 de 2000 del AGN
Avance 100%
Ver archivo denominado "H2 accion 3 M2 Rpte Temperatura Humedad I trimestre 2020"</t>
  </si>
  <si>
    <t>Acción Mejoradora cumplida desde la vigencia 2020, en el seguimiento a 30/06/2023 se evidenciaron los reportes diarios de las mediciones con los que se observan las gráficas derivadas de las mismas.</t>
  </si>
  <si>
    <t xml:space="preserve">Los depósitos presentan rangos estables de temperatura y humedad relativa y estan dentro de los parámetros establecidos en el acuerdo 049 de 2000 del AGN. 
</t>
  </si>
  <si>
    <t>Construcción del proceso de consulta para que los usuarios puedan acceder a los documentos digitalizados. Digitalizar los catálogos de los fondos Julio Arboleda, Tomás Cipriano de Mosquera y Biblioteca de Misiones y publicarlos en la página web de la Universidad del Cauca.</t>
  </si>
  <si>
    <t>Digitalizar y publicar los católogos de los  Fondos documentales Tomás Cipriano de Mosquera, Julio Arboleda y                                                                                                                                                                                                                                                  Misiones.</t>
  </si>
  <si>
    <t>Catálogos de los fondos Tomas Cipriano de Mosquera, Julio Arboleda y                                                                                                                                                                                                                                                   Misiones digitalizados y publicados en la página web de la Universidad del Cauca</t>
  </si>
  <si>
    <t>Funcionarios y Dirección Archivo Histórico, Oficina de las TIC´s y Centro de Gestión de las Comunicaciones de la Universidad del Cauca</t>
  </si>
  <si>
    <t>Catálogos publicados en la página web de la Universidad</t>
  </si>
  <si>
    <t xml:space="preserve">
De 3777 páginas que componen las páginas de los catálogos de los fondos Mosquera, Arboleda y Misiones se ha publicado el total de las mismas en el portal web Institucional así:
Fondo Sergio Arboleda Pombo: dos (2) Tomos
Fondo Misiones: Un (1) Tomo.
FondoTomás Cirpiano de Mosquera: Veintidós (22) Tomos.
Avance 100%
Ver link: http://www.unicauca.edu.co/versionP/Servicios/Archivo%20Hist%C3%B3rico/Cat%C3%A1logo</t>
  </si>
  <si>
    <t xml:space="preserve">Con oficio 8.7.13-92.8/16, del 12/09/2022, dirigido a la División de Tecnologías de la Información y las Comunicaciones, se solicita por la directora del Archivo Histórico la actualización de la página web de Archivo en lo relacionado con los catálogos: Fondo Antiguo Archivo Central del Cauca, Catálogo de República y Fondo General Carlos Albán Estudian.
Igualmente, solicita conservar la información de los demás documentos disponibles en la página
</t>
  </si>
  <si>
    <t>Construcción del protocolo de consulta de los documentos digitalizados</t>
  </si>
  <si>
    <t>Procedimiento de consulta para acceso de los usuarios a los documentos históricos digitalizados documentado.</t>
  </si>
  <si>
    <t>Dirección Centro de Investigaciones José Ma Arboleda Llorente, Área de gestión Documental y Centro de Gestión de la calidad.</t>
  </si>
  <si>
    <t>Actas de reunión para la construcción del procedimiento de consulta por parte de los usuarios para los documentos digitalizados.
Avances de la construcción del documento para consulta de imágenes digitales del Centro de Investigaciones Históricas José María Arboleda LLorente.</t>
  </si>
  <si>
    <t>La Institución cuenta con el Protocolo para acceder a imágenes digitalizadas Centro de Investigaciones Históricas "José María Arboleda Llorente", con código PM-FO-4.5-PT-1. publicado en el portal Web Institucional -Banner "programa Lvmen"
Avance 100%
Anexo Denominado: "H3 ACCIÓN 4 M2 PROTOCOLO"</t>
  </si>
  <si>
    <t>La Institución cuenta con el Protocolo para acceder a imágenes digitalizadas Centro de Investigaciones Históricas "José María Arboleda Llorente"</t>
  </si>
  <si>
    <t>Procesos de Microfilmación y Digitalización. No se realiza proceso de foliación y sellado de documentos, según se observó en algunas imágenes digitalizadas, actividad que debe ser previa a la captura de imágenes, a fin de garantizar la seguridad de los documentos</t>
  </si>
  <si>
    <t xml:space="preserve">Realizar las actividades de  foliación y sellado de documentos al proceso de digitalización y/o microfilmación a los imágenes de los documentos. </t>
  </si>
  <si>
    <t>Foliar y sellar las imágenes digitalizadas</t>
  </si>
  <si>
    <t>Imágenes digitalizadas foliadas y selladas</t>
  </si>
  <si>
    <t>Dirección Centro de Investigaciones José Ma Arboleda Llorente y funcionarios responsables del proceso de digitalización</t>
  </si>
  <si>
    <t>Reporte en el que se pueda verificar las imágenes foliadas y selladas de los documentos digitalizados.</t>
  </si>
  <si>
    <t xml:space="preserve">En el portal web Institucional, catálogo del fondo Antiguo Archivo Central del Cauca se puede verificar los documentos que cuentan con "copia digital": 
http://www.unicauca.edu.co/versionP/Servicios/Archivo%20Hist%C3%B3rico/Cat%C3%A1logo
En reunión conjunta con el AGN, este requirió a la Universidad informar en el siguiente informe de avance del PMA, lo sucedido con el convenio con la Fundación Neogranadina y la adquisición del escáner. Igualmente, se debe informar el volumen de la información digitalizada con respecto al universo de los documentos históricos, identificando cada fondo, sin enviar los pantallazos que el AGN ya posee.
El AGN indicó, que no existe obligatoriedad de digitalizar todas sus imágenes. Sin embargo, lo recomendó para consulta y salvaguarda, precaviendo el deterioro por la manipulación y afectación por factores externos de los documentos históricos.
Por lo anterior, se envía un informe detallado sobre las condiciones en que la Fundación Neogranadina digitalizó las imágenes del Archivo Hstórico de la Universidad del Cauca, en el cual se explica que del universo total de los documento del Fondo Antiguo Archivo Cental del Cauca se ha digitalizado un 5%; en dicho documento también se explica el estado en que se encuentra el proceso de digitalización adicional a este PMA
Ver PDF titulado "H 4 ACCIÓN 5 M1 INFORME NEOGRANADINA"
</t>
  </si>
  <si>
    <t xml:space="preserve">Al momento de la visita se evidenció el sellado y foliación de las imágenes digitalizadas en el marco del convenio entre la Fundación Neogranadina y la Universidad del Cauca.
Teniendo en cuenta que el archivo digital pesa 170 gb aproximadamante, se determinó enviar al AGN una muestra aleatoria (Ver carpeta denominada "H 4 ACCIÓN 5 M1")
</t>
  </si>
  <si>
    <t>Vicerrectoría de Investigaciones</t>
  </si>
  <si>
    <t xml:space="preserve">Diego H - Mabel U </t>
  </si>
  <si>
    <t>INFORME 2.6-52.18/14 DE 2023, DE EVALUACIÓN A LA GESTIÓN ADMINISTRATIVA
Y FINANCIERA DE PROYECTOS DE INVESTIGACIÓN INTERNOS.</t>
  </si>
  <si>
    <t>Sin evidencia de controles o con controles inefectivos a la verificación de los soportes de los proyectos registrados en los sistemas de información de la Vicerrectoría de Investigaciones y la congruencia de la información.</t>
  </si>
  <si>
    <t>El Sistema de información de la Vicerrectoría de Investigaciones - SIVRI, presenta debilidades por cuanto no permite que algunos profesores carguen la información que soporta los proyectos de investigación internos en el Sistema.</t>
  </si>
  <si>
    <t>Contratar Soporte SIVRI</t>
  </si>
  <si>
    <t>Realizar estímulo económico al Profesor Daniel Paz</t>
  </si>
  <si>
    <t xml:space="preserve">Estímulos económicos realizados </t>
  </si>
  <si>
    <t>Vicerrector de Investigaciones</t>
  </si>
  <si>
    <t>Estímulo económico</t>
  </si>
  <si>
    <t>Formulación: La OCI aclará que los estimulos deben realizarse para efectuar ajustes al Sistema de Información de la VRI</t>
  </si>
  <si>
    <t>Debilidad en el control al estado de los proyectos y la revisión de compromisos:
- Algunos proyectos con fecha de inicio en las vigencias 2016, 2017 y 2018 se encuentran en ejecución.
-Los directores de los proyectos 4584 y 4585 no han presentado la totalidad de compromisos (informe final), por lo que continúan en estado “ejecución”, (06/07/2023).</t>
  </si>
  <si>
    <t>El SIVRI no actualiza automaticamente el estado de los proyectos, de acuerdo con los tiempos programados en los proyectos</t>
  </si>
  <si>
    <t>Definir procedimiento para cierre de proyectos en SIVRI</t>
  </si>
  <si>
    <t>Documentar procedimiento manual para cierre de proyectos</t>
  </si>
  <si>
    <t>Procedimientos de cierre de proyectos realizados</t>
  </si>
  <si>
    <t>Profesional especializado Vicerretoría de Investigaciones</t>
  </si>
  <si>
    <t>Procedimiento docuementado</t>
  </si>
  <si>
    <t>Notificar según el tipo de proyectos la actualización a quien corresponda</t>
  </si>
  <si>
    <t>Notificaciones realizadas</t>
  </si>
  <si>
    <t>Correos electrònicos</t>
  </si>
  <si>
    <t>Debilidades en el control al cierre de los proyectos:
- Proyectos con estado terminado sin aprobación de todos sus compromisos, algunos compromisos referenciados en el acta de inicio, oficialización de inicio e informe técnico final, no evidencian su soporte en el SIVRI, ejemplo proyectos N° 5255 - 5667.
-La verificación al cumplimiento de los compromisos no abarca la calidad de la información de los soportes, informes técnicos parciales sin utilizar el formato aprobado, Proyecto N° 4983.
-Algunos proyectos no evidencian la notificación de cierre del proyecto posterior a la aprobación de compromisos.</t>
  </si>
  <si>
    <t>No se encuentra documentado el alcance de la Vicerrectoría en la evaluación de los compromisos</t>
  </si>
  <si>
    <t xml:space="preserve">
Definir los criterios para el cierre de proyectos de investigación y la revisión de compromisos</t>
  </si>
  <si>
    <t>Documentar el alcance de la VRI en la evaluación de compromisos</t>
  </si>
  <si>
    <t>Alcance de la VRI documentado</t>
  </si>
  <si>
    <t xml:space="preserve">
Criterios documentados para el cierre y entrega de compromisos</t>
  </si>
  <si>
    <t>Solicitar a jefes de Departamento sobre la conformidad de los compromisos</t>
  </si>
  <si>
    <t>Evaluación de la conformidad de compromisos realizada</t>
  </si>
  <si>
    <t>Documento con avales de jefes de Departamento</t>
  </si>
  <si>
    <t>Formulación: El alcance de la actividad considerará como punto de control la revisión realizada por los jefes de Departamento a los compromisos de los proyectos</t>
  </si>
  <si>
    <t xml:space="preserve"> Dar accesos a sistema de información a Jefes de departamento</t>
  </si>
  <si>
    <t>Accesos consedidos</t>
  </si>
  <si>
    <t>Soporte de accesos concedidos y realizados</t>
  </si>
  <si>
    <t xml:space="preserve">Formulación: El alcance de la actividad considerará el control de los accesos de los Jefes de Departamento </t>
  </si>
  <si>
    <t>Envio Semestral de reporte de compromisos</t>
  </si>
  <si>
    <t>Reporte de compromisos enviado</t>
  </si>
  <si>
    <t>Correos electrónicos, oficios, y reportes de compromisos</t>
  </si>
  <si>
    <t>Inadecuado control a las suspensiones y prórrogas en la ejecución de los proyectos internos.
- No están documentados los criterios para la suspensión y plazos.
- Algunos proyectos no registran todos los soportes de suspensiones y prorrogas.
- Algunos proyectos presentan más de una prórroga, contrariando lo definido en el AA 021 de 2019.
- Sin evidencia del responsable de aprobar las prórrogas.</t>
  </si>
  <si>
    <t>No existe un control al número de prorrogas asociadas al proyecto</t>
  </si>
  <si>
    <t>Actualizar el sistema de información para que incluya el seguimiento a prorrogas</t>
  </si>
  <si>
    <t>Actualizar seguimiento a prorrogas en sistema de información de acuerdo al 015 de 2015</t>
  </si>
  <si>
    <t>Sistema Ajustado para seguimiento a prorrogas</t>
  </si>
  <si>
    <t>Sistema ajustado</t>
  </si>
  <si>
    <t>Formulación: El alcance de la actividad considerará el seguimiento de las prórrogas autorizadas</t>
  </si>
  <si>
    <t>En presentación de las propuestas de proyectos, no se logró determinar la documentación de los requisitos mínimos a presentar por los directores de proyectos, para la revisión por el Departamento y Comité de Investigaciones de cada Facultad, previo registro de la ficha resumen en SIVRI: Ejemplo: Objetivo, alcance, justificación, entre otros</t>
  </si>
  <si>
    <t>No se ha documentado los requisitos mínimos que deben presentar los directores de proyectos ante los Departamentos y facultades</t>
  </si>
  <si>
    <t>Documentar, Ajustar y actualizar los criterios y formatos para la presentación de propuestas de proyectos</t>
  </si>
  <si>
    <t>Actualizar los criterios y Formatos para la presentación de propuestas</t>
  </si>
  <si>
    <t>Criterios y formatos actualizados</t>
  </si>
  <si>
    <t>Profesional especialziado de la Vicerrectoría de Investigaciones</t>
  </si>
  <si>
    <t>Formatos actualizados</t>
  </si>
  <si>
    <t>Socializar los citerios y formatos con los investigadores</t>
  </si>
  <si>
    <t>Criterios y formatos socializados</t>
  </si>
  <si>
    <t>Formatos actualizados y socializados</t>
  </si>
  <si>
    <t>La lista de chequeo PM-IV-6.1-FOR-40 Requisitos para Registro de Proyectos de Trabajo de Grado en SIVRI, no establece los criterios para la definición de compromisos asociados a este tipo de proyectos N° 5370, 5140</t>
  </si>
  <si>
    <t>No se encuentran documentados los requisitos mínimos de entrega en proyectos de trabajo de grado</t>
  </si>
  <si>
    <t>Documentar los requisitos mínimos a entregar al finalizar un trabajo de grado registrado en el sistema de información de la VRI</t>
  </si>
  <si>
    <t>Documentar los requisitos para trabajo de grado</t>
  </si>
  <si>
    <t>Requisitos documentados</t>
  </si>
  <si>
    <t>Documento con requisitos</t>
  </si>
  <si>
    <t>Socializar los requisitos con investigadores</t>
  </si>
  <si>
    <t>Requisitos socializados</t>
  </si>
  <si>
    <t>Documento con requisitos socializados</t>
  </si>
  <si>
    <t>Sin evidenciar los lineamientos y criterios para la asignación de los recursos del presupuesto según la clasificación del proyecto definidos en el AS N° 015 del 2015, tampoco se especifican los criterios para la asignación de los recursos en especie y efectivo, para los rubros descritos en el formato PM-IV-6.1-FOR-16.</t>
  </si>
  <si>
    <t>Los recursos son definidos según el presupuesto con el que se cuenta la vicerrectoria o entidad financiadora, pero no se encuentra documentado en el procedimiento</t>
  </si>
  <si>
    <t>Definir lineamientos para la asignación presupuestal de los proyectos de investigación y el tipo de recurso (Especie o efectivo)</t>
  </si>
  <si>
    <t>Documetar los lineamientos para la asignación presupuestal de los proyectos de investigación y el tipo de recurso (Especie o efectivo)</t>
  </si>
  <si>
    <t>Lineamientos documentados</t>
  </si>
  <si>
    <t>Procedimiento
Documento</t>
  </si>
  <si>
    <t xml:space="preserve">Formulación: El alcance de la actividad considerará la Identificación de los proyectos en las solicitudes de compras y en su registrro </t>
  </si>
  <si>
    <t>De los requisitos para el registro de proyectos de desarrollo interno:
• La lista de chequeo PM-IV-6.1-FOR-40 V: 1 del 05/08/2019, refiere formatos sin normalizar en el Sistema de Gestión de la Calidad- Programa LVMEN (PM-IV-6.1-IN-11).
• La matriz PM-IV-6.1-FOR-16 de Presupuesto Global, en la Hoja “A. Presupuesto Global” contiene nota que menciona “los valores totales deben coincidir con los especificados en la ficha resumen del proyecto (PM-IV-6.1-FOR-6)”, que no se encuentra normalizada en el Sistema de Gestión de la Calidad-Programa Lvmen.</t>
  </si>
  <si>
    <t xml:space="preserve">
Los procedimientos y formatos que orientan la operación y gestión de los proyectos de investigación se encuentran desactualizados.</t>
  </si>
  <si>
    <t xml:space="preserve">
Ajustar e implementar los procedimientos y formatos que orientan la gestión de los proyectos internos de la VRI</t>
  </si>
  <si>
    <t xml:space="preserve">
Actualizar los procedemientos y formatos que orientan la gestión de proyectos internos en los refente a registro, formulación, revisión ejecución y cierre.</t>
  </si>
  <si>
    <t>Procedimientos y formatos actualizados</t>
  </si>
  <si>
    <t>Formulación: El alcance de la actividad considerará lo contemplado en el AA N° 021 de 2019, recpecto de la asignación de labor docente, además, de las actividades que relaciones la evaluación de pares</t>
  </si>
  <si>
    <t>Los procedimientos y formatos no visibilizan los criterios que aplican en la etapa de formulación de proyectos de investigación, a la revisión técnica y presupuestal a cargo de los Departamentos y el Comité de Investigaciones de cada Facultad.</t>
  </si>
  <si>
    <t>Implementar los procedimientos y formatos actualizados</t>
  </si>
  <si>
    <t>Procedimientos y formatos implementados</t>
  </si>
  <si>
    <t>En los lineamientos, procedimientos y formatos no se describe la clasificación y sub-clasificación de los proyectos de investigación, que identifique si los proyectos corresponden a Desarrollo Interno, Convocatorias internas y/o financiación externa (AS N° 015 de 2015 en u Artículo 8)</t>
  </si>
  <si>
    <t>Los lineamientos internos no consideran la clasificación y subclasificación de los proyectos de Investigación.</t>
  </si>
  <si>
    <t xml:space="preserve">
Documentar las clasificaciones y subclasificaciones para los tipos de investigaciones
(considerar la propuesta de acuerdo)</t>
  </si>
  <si>
    <t>Definir las clasificaciones y subclasificaciones para los tipos de investigación interna.</t>
  </si>
  <si>
    <t>Clasificaciones y subclasifcaciones definidas</t>
  </si>
  <si>
    <t>Documento con clasificaciones
Procedimiento
Manual SIVRI</t>
  </si>
  <si>
    <t>No están documentados los términos de referencia para elaborar las convocatorias ni los criterios para el control que corresponde ejercer al Comité de Investigaciones a la revisión y aprobación de las propuestas de convocatorias.</t>
  </si>
  <si>
    <t>No se encuentra documentado el procedimiento con sus respectivos controles a la revisión y aprobación de las propuestas de convocatorias.</t>
  </si>
  <si>
    <t>Documentar los controles para los términos de referencia y elaboración de convocatorias</t>
  </si>
  <si>
    <t>Actualizar los terminos de referencia y controles para la revisión de convocatorias</t>
  </si>
  <si>
    <t xml:space="preserve">
Terminos de referencia y controles actualizados</t>
  </si>
  <si>
    <t>No están documentados los lineamientos para la gestión financiera de los proyectos internos de investigación, en lo referente a asignación, modificación, ejecución, seguimiento y control presupuestal</t>
  </si>
  <si>
    <t>No se ha documentado</t>
  </si>
  <si>
    <t>Documentar los lineamientos para la gestión financiera de los proyectos</t>
  </si>
  <si>
    <t>Definir los criterios para asignación, modificación, ejecución, seguimiento y control presupuestal</t>
  </si>
  <si>
    <t>Criterios de gesitón presupuestal definidos</t>
  </si>
  <si>
    <t>Procedimiento
Documento con los criterios de gestión presupuestal</t>
  </si>
  <si>
    <t>En los soportes documentales de los proyectos de desarrollo interno, se identificaron debilidades en la aplicación de las listas de verificación</t>
  </si>
  <si>
    <t>No se realiza auditoria (autoevaluación) a la aplicaciòn de las listas de verificación</t>
  </si>
  <si>
    <t>Realizar auditorias internas en la aplicaciòn de las listas</t>
  </si>
  <si>
    <t>Autoevaluar la aplicación de las listas de verificación</t>
  </si>
  <si>
    <t>Algunos proyectos no tienen el soporte de acta de inicio u oficialización de inicio.</t>
  </si>
  <si>
    <t>No se aplican controles a los soportes documentales en las diferentes etapas de los procesos</t>
  </si>
  <si>
    <t>Proyectar modelo de acta de inicio y realizar capacitación a equipo de apoyo al investigador</t>
  </si>
  <si>
    <t>Proyectar modelo de acta de inicio</t>
  </si>
  <si>
    <t>Documento actualizado</t>
  </si>
  <si>
    <t>Aplicación parcial de las normas de gestión documental que impactan en la organización de los soportes en las etapas de formulación, ejecución y cierre de los proyectos de investigación Internos:
• Deficiencias en la verificación de los soportes que conforman los proyectos internos de investigación, que conlleva a la existencia soportes parciales, documentos con firmas incompletas y duplicidad de documentos.
• Se utilizan formatos sin normalizar por el Sistema de Gestión de la Calidad.</t>
  </si>
  <si>
    <t>Aplicar las normas de gestión documental en la organización de los soportes en las etapas de formulación, ejecución y cierre de los proyectos de investigación Internos</t>
  </si>
  <si>
    <t>Formulación: El alcance de la actividad considerará la acción y la organización del archivo satelital, así como los soportes digitales</t>
  </si>
  <si>
    <t>SEGUIMIENTO PLAN DE MEJORAMIENTO - CONTRALORÍA GENERAL DE LA REPÚBLICA AUDITORÍA VIGENCIA 2019</t>
  </si>
  <si>
    <t>Tipo</t>
  </si>
  <si>
    <t>Descripción de la oportunidad de mejora / hallazgo de no conformidad</t>
  </si>
  <si>
    <t>Causa (s)
(Solo aplica para la no conformidad)</t>
  </si>
  <si>
    <t xml:space="preserve"> Proyecto o Acción</t>
  </si>
  <si>
    <t>Unidad de medida</t>
  </si>
  <si>
    <t>Cantidad de Medida de la Actividad</t>
  </si>
  <si>
    <t>Puntaje de morosidad
(Semanas)</t>
  </si>
  <si>
    <t>Sistema de alerta</t>
  </si>
  <si>
    <t>Puntaje  Logrado  por las Actividades  (PLA)</t>
  </si>
  <si>
    <t xml:space="preserve">Puntaje Logrado por las Actividades  Vencidas (PLAV)  </t>
  </si>
  <si>
    <t>Cierre de la oportunidad de mejora y/o no conformidad</t>
  </si>
  <si>
    <t>Evidencias</t>
  </si>
  <si>
    <t>Conclusiones del Seguimiento</t>
  </si>
  <si>
    <t xml:space="preserve">Responsable </t>
  </si>
  <si>
    <t>Contraloría General de la República</t>
  </si>
  <si>
    <t>Auditoría Externa vigencia 2019</t>
  </si>
  <si>
    <t xml:space="preserve">En el Contrato de comodato N° 5.5.-31.7/002/2018 y el listado de bienes muebles a 31/12/2019, se identifica la entrega de 23 elementos por un costo histórico total de $408.850.443, con deficiencias de información: los Equipos del Código 21001287 y placas 000316 y 000317, se entregaron al Hospital Universitario San José por $4.237.118 cada uno y están registrados en SRF </t>
  </si>
  <si>
    <t>Inaplicación de los controles establecidos para el manejo y supervisión de bienes muebles, y deficiencias en el diseño y aplicación de las políticas contables para activos no generadores de efectivo.</t>
  </si>
  <si>
    <t xml:space="preserve">Establecer  mecanismos que aseguren el   debido control  y cumplimiento de las políticas contables en materia de  activos no generadores de efectivo.
</t>
  </si>
  <si>
    <t>Documentar, socializar y aplicar  el procedimiento  que oriente el ejercicio de seguimiento y  control de los bienes comodato en el marco de las normas contables públicas.</t>
  </si>
  <si>
    <t xml:space="preserve">Procedimiento documentado, socializado  y aplicado </t>
  </si>
  <si>
    <t>Con oficio 5.4.5-92/1582 del 20 de Junio de 2023 el Área de Adquisiciones e Inventarios reporta la publicación del procedimiento PA-GA-5.4.5-PR-18 Entrega o Recepción de Bienes en Comodato en su versión 03 publicada el 02 de diciembre de 2022
2. Actualización formato PA-GA-5.4.5-PR-18 Bienes en comodato
3. solicitud publicación"
II semestre 2023:
El Área de Adquisiciones e inventarios con oficio 5.4.5-92/3201 del 14/11/2023 remitió: 
1. Procedimiento PA-GA-5.4.5-PR-18 versión 4 del 10/11/2023 publicado en el programa Lvmen de la Universidad del Cauca
2. Solicitud de actualización, ajustes de actividades en colaboración con las TICS: reestructuración del procedimiento.</t>
  </si>
  <si>
    <t>La OCI  concluye que el ajuste del procedimiento PA-GA-5.4.5-PR-18 V3  requiere mejoras en su objetivo, actividades, controles y responsables, así como la aprobación de las modificaciones realizadas a la Resolución R 669 del 2005 y Acuerdo 043 del 2002. 
II semestre 2023:
La actividad 1 no se contempla en el alcance del procedimiento documentado en versión 4, refiere varios responsables que no pertenecen al Área de adquisiciones e inventarios y el punto de control refiere "certificado de conveniencia y oportunidad" el que se describe en la actividad  3.
La actividad 5 no es clara en la necesidad de comprar bienes para dar en comodato
El procedimiento no define criterios para el registo contable de los bienes de comodato en los sistemas de información.
El procedimiento presenta actividades segmentadas para la Universidad como comodante y comodatario
El porcentaje de avance se mantiene en 60%,  el 40% restante queda sujeto a los ajustes</t>
  </si>
  <si>
    <t xml:space="preserve">Profesional Especializado Área Adquisiciones e Inventarios. 
Jefe Oficina Jurídica  </t>
  </si>
  <si>
    <r>
      <rPr>
        <b/>
        <sz val="11"/>
        <color theme="1"/>
        <rFont val="Arial"/>
        <family val="2"/>
      </rPr>
      <t>Activos Intangibles Regalías (A).</t>
    </r>
    <r>
      <rPr>
        <sz val="11"/>
        <color theme="1"/>
        <rFont val="Arial"/>
        <family val="2"/>
      </rPr>
      <t xml:space="preserve">
En diciembre 2014 se adquieren licencias a EBSCO INTERNATIONAL, NIT 521231562 con recursos de regalías, para acceder a las bases bibliográficas por el período 2015 y 2019 utilizadas en el Proyecto ID-3848; que según los Libros auxiliares de la "Unidad 04 Sistema General de Regalías" a 31/12/2019 continuaban registradas en la cuenta 19700701 En Bodega por $749.999.999, y sin amortizar.</t>
    </r>
  </si>
  <si>
    <t>Deficiencias en la aplicación y seguimiento de los controles establecidos para el registro, medición y reconocimiento de las licencias y software en el SRF.</t>
  </si>
  <si>
    <t xml:space="preserve">Establecer controles al cumplimiento de procedimientos y políticas contables  en el  registro, medición y reconocimiento de licencias y software.
</t>
  </si>
  <si>
    <t>Conciliar la información del SRF con los bienes intangibles entregados  (Regalías)</t>
  </si>
  <si>
    <t>Registros de conciliación de  activos intangibles (Regalías).</t>
  </si>
  <si>
    <t>En el registro de conciliación a marzo de 2021 se evidencia la reclasificación contable de la cuenta 19700701 (Licencia en bodega) a la cuenta  19700702 (Licencia en uso) , segun reporte  del SRF en la forma ACGA  de los registros de  los movimientos de amortizacion e inventarios, que refleja un saldo de depreciacion cero (0) y el  valor en libros correspondiente al valor residual de $6.575.342,46.
Pasó de 0 a 100%</t>
  </si>
  <si>
    <t xml:space="preserve">Profesional Especializado Área Adquisiciones e Inventarios. 
</t>
  </si>
  <si>
    <r>
      <rPr>
        <b/>
        <sz val="11"/>
        <color theme="1"/>
        <rFont val="Arial"/>
        <family val="2"/>
      </rPr>
      <t xml:space="preserve">Activos de Cuantía Menor.  (A) </t>
    </r>
    <r>
      <rPr>
        <sz val="11"/>
        <color theme="1"/>
        <rFont val="Arial"/>
        <family val="2"/>
      </rPr>
      <t xml:space="preserve">
La Universidad al 31/12/2019 tenía registrados en el SRF10.942 bienes en servicio, con un costo actual de $57.186.694.045,89 y "saldos por depreciar" de $34.907.132.029,91, reconocidas en las diferentes cuentas de los grupos 16 (depreciación) y 19 (amortización). 
Sin embargo, existen bienes adquiridos en el 2018 y 2019 cuyo costo era igual o menor a dos SMM, sin depreciar o amortizar  en el mismo periodo contable,  quedando saldos sobrestimados por $436.295.333 en el grupo 16 y $437.649.035 en el grupo 19.</t>
    </r>
  </si>
  <si>
    <t>Inadecuada parametrización y registro de información en el SRF, ausencia del seguimiento y control a la medición posterior de los activos, e inaplicación de políticas contables específicas adoptadas en el Manual de Políticas Contables</t>
  </si>
  <si>
    <t xml:space="preserve">Establecer controles al   SRF para detectar los activos de menor cuantía sin depreciar en el período. 
</t>
  </si>
  <si>
    <t>Gestionar  los ajustes del SRF para la depreciación de  los activos de menor cuantía.</t>
  </si>
  <si>
    <t>Reporte de bienes de menor cuantía  depreciados en el sistema en el período.</t>
  </si>
  <si>
    <t xml:space="preserve">Se ajustó  en el SRF la vida útil y la depreciación de  los activos de menor cuantía, con evidencia de los cambios en los reportes: Orden de compra, entradas de inventario, activación de la depreciación en bodega,  movimiento de salidas, depreciación mensual y depreciación total dentro del periodo contable.
Se adjunta 5 registros con la trazabilidad integral así: orden de compra No. 20200042, entrada No. 20200021 , salida No. 20200088, registro de activacion de depreciacion, generacion de depreciacion mensual Nos. 20200012, 20200013, 20200014  reflejando un saldo de depreciacion cero (0) y un  valor residual de $13566 dentro del mismo periodo contable. 
Pasó de 0 a 100% - El Área de Adquisiciones e Inventarios debe enviar reporte de los bienes depreciados, ya solicitado por la OCI. </t>
  </si>
  <si>
    <t>No hay unidad de criterios para registrar en el SRF la vida útil y el valor residual de los activos intangibles, según la duración de las licencias adquiridas y el Manual de Políticas Contables frente a las revelaciones en las Notas a los Estados Financieros a diciembre de 2019 (Ver Tabla N° 14 del Informe C.G.R.)
El sistema omite el cálculo sistemático de amortización, y múltiples bienes registrados en la cuenta "197007 Licencias" tienen vida útil de -1, 3, 4, 5, 6, 7, que presentan "Saldo por depreciar" cuyo valor es igual al costo de adquisición, y valor residual superior a 0% que en su mayoría es 1%.</t>
  </si>
  <si>
    <t>Inadecuada parametrización y registro de información en el SRF, ausencia del seguimiento y control a la medición posterior de los activos e inaplicación de políticas contables específicas adoptadas en el Manual de Políticas Contables</t>
  </si>
  <si>
    <t xml:space="preserve">Establecer controles a la aplicación de los criterios de  vida útil de los activos intangibles 
</t>
  </si>
  <si>
    <t xml:space="preserve">Realizar el registro de  los activos intangibles, conforme a la politica interna y/o al derecho reconocido en los contratos de adquisición. </t>
  </si>
  <si>
    <t>Registros de activos intangibles</t>
  </si>
  <si>
    <t>A partir de la transición a la Norma Internacional  y la Politica Contable 219, se aplica el criterio de registrar estos activos de manera individual, teniendo en cuenta la clasificación de finitas e indefinidas. La vida util se determina según indicación del  proveedor o supervisor del softwares o licencias, en en el caso  que sean indefinidas o perpetuas se crean con la vida util (-1) lo cual no activa la amortizacion, ni el valor residual.
Se evidencia el registro de los activos intangibles 000032 y  000001 del 2019 y 2021 respectivamente, a través del SRF en la forma ACGA los movimientos de amortizacion, depreciacion e inventarios.
Pasó de 0 a 100%</t>
  </si>
  <si>
    <r>
      <rPr>
        <b/>
        <sz val="11"/>
        <color theme="1"/>
        <rFont val="Arial"/>
        <family val="2"/>
      </rPr>
      <t>Activos No Explotados (A)</t>
    </r>
    <r>
      <rPr>
        <sz val="11"/>
        <color theme="1"/>
        <rFont val="Arial"/>
        <family val="2"/>
      </rPr>
      <t xml:space="preserve">
Ascensor MTISUBISHI, placa 000001, código 20801175 con  ingreso a almacén el 31/12/2017 por $83.100.000, y registro en la cuenta 163711 Equipos de transporte, tracción y elevación, con vida útil de 13 años (156 meses), clasificado como PROPIEDAD, PLANTA Y EQUIPO NO EXPLOTADO.
El Manual de Políticas Contables en Art. 181 estableció para este tipo de bienes 20 años de vida útil, como la entidad lo revela en la Nota 10.2 Estimaciones; sin embargo, el reporte con corte al 31/12/2019 del SRF, evidencia que la depreciación acumulada no se ajusta a la vida útil registrada ni a la establecida en la política contable, al presentar depreciación acumulada de $23.421.641,70, con un mayor valor de $10.637.027, producto de restar a la depreciación acumulada reconocida, la depreciación que correspondería a los 24 meses transcurridos por $12.784.615 (...)</t>
    </r>
  </si>
  <si>
    <t>Inadecuada parametrización y registro de información en el SRF, ausencia del seguimiento y control a la medición posterior de los activos, inaplicación de políticas contables adoptadas en el Manual de Políticas Contables y por ineficiencia en la gestión e inversión de los recursos públicos.</t>
  </si>
  <si>
    <t xml:space="preserve">Establecer controles a la aplicación de las políticas y procedimientos vigentes sobre  la clasificación de Construcciones en curso.   </t>
  </si>
  <si>
    <t xml:space="preserve">Reclasificar el activo  en la cuenta contable correspondiente y revisar su vida útil y la depreciación acumulada.
</t>
  </si>
  <si>
    <t>Registros de reclasificación del activo</t>
  </si>
  <si>
    <t>En registro de Nota de Contabilidad 01-D964-202100006 del 30-04-2021 se realiza el recálculo de la depreciaión y  vida útil del Ascensor Mtisubishi, placa 000001, código 20801175, se soporta en Informe detallado del Área de Adquisiciones e Inventarios. 
Pasó de 0 a 100%</t>
  </si>
  <si>
    <t xml:space="preserve">Profesional Especializado Área Adquisiciones e Inventarios. 
Profesional Especializado -Contador 
</t>
  </si>
  <si>
    <r>
      <rPr>
        <b/>
        <sz val="11"/>
        <color theme="1"/>
        <rFont val="Arial"/>
        <family val="2"/>
      </rPr>
      <t xml:space="preserve">Provisión proceso 20170011600 (A).
</t>
    </r>
    <r>
      <rPr>
        <sz val="11"/>
        <color theme="1"/>
        <rFont val="Arial"/>
        <family val="2"/>
      </rPr>
      <t xml:space="preserve">
El registro en EKOGUI proceso radicado No. 199133300120170011600 contra la UNICAUCA en el Juzgado 01 Administrativo de Popayán, detalla en el ítem actuaciones del proceso el pago por $55.337.554;  que indica que debe hacerse el retiro de la provisión contable y quedar en cero,  como muestra el pantallazo del sistema de información. (Gráfico 3 Informe CGR).  A pesar de lo anterior, a 31/12/2019 el saldo de la cuenta 270103 provisiones del proceso referido por $104.095.851.92, no concuerda con el valor de la provisión estimada en el eKOGUI y no evidencia el reconocimiento del pasivo real a pesar que hubo fallo ejecutoriado en contra de la entidad y su posterior pago.</t>
    </r>
  </si>
  <si>
    <t>Falta de seguimiento y control a los valores que se deben registrar de provisión contable y las deficiencias conciliación entre la Oficina Jurídica y el área Financiera de la Universidad.</t>
  </si>
  <si>
    <t xml:space="preserve">Establecer controles al procedimiento de calificación, provisión contable y pasivo contingente en los procesos litigiosos contra la Universidad. </t>
  </si>
  <si>
    <t>Registrar   la provisión del riesgo alto   de los procesos litigiosos  conforme a la Resolución 257 del 2018.</t>
  </si>
  <si>
    <t>Registro de la provisión</t>
  </si>
  <si>
    <t>El registro de Nota de Contabilidad 03-P900-202000035 del 01-07-2020, actualiza los valores de la provisión del proceso litigioso en contra de la Universidad, según Resolución 257/ 2018 que establece el procedimiento para calificación, provisión contable y pasivo contingente en los procesos litigiosos contra la Universidad.
Pasó de 0 a 100%</t>
  </si>
  <si>
    <t>Jefe Oficina Jurídica
Profesional Especializado-Contador</t>
  </si>
  <si>
    <r>
      <rPr>
        <b/>
        <sz val="11"/>
        <color theme="1"/>
        <rFont val="Arial"/>
        <family val="2"/>
      </rPr>
      <t xml:space="preserve">Ejecución de Ingresos por Matrículas (A).
</t>
    </r>
    <r>
      <rPr>
        <sz val="11"/>
        <color theme="1"/>
        <rFont val="Arial"/>
        <family val="2"/>
      </rPr>
      <t xml:space="preserve">
De la muestra aleatoria de matrículas financieras a través de recursos en línea "Recibo de Matrícula" y "SIMCA" página Web de la Universidad a los conceptos de biblioteca y deportes, derechos de grado, descuentos por voto y becas, se evidenció: 
Estudiante identificación 1085317xxx: estado "Activo" en SIMCA, reporta recibo de matrícula hasta 2018-II, y en el movimiento de ejecución presupuestal registra valores pagados por biblioteca y deportes por $137.000 en período 2019-II.
Estudiante identificación 1115069xxx: El descuento por  beca posgrado por $1.367.000 no está registrado en el recibo de matrícula del periodo 2019-I al cual corresponde el valor registrado en el movimiento presupuestal de ingresos. El descuento aparece en el recibo de matrícula del período 2018-II.
</t>
    </r>
  </si>
  <si>
    <t>Deficiencias de control presupuestal, de coordinación y conciliación de la información entre los aplicativos que se relacionan con la liquidación y registro de la matrícula financiera como simca, squid y finanzas plus.</t>
  </si>
  <si>
    <t xml:space="preserve"> Reducir el   riesgo de inconsistencias en la liquidación de derechos potenciales de matrícula a través de SIMCA </t>
  </si>
  <si>
    <t>Realizar pruebas de verificación,  previas a la emisión de boletas definitivas de  matricula.</t>
  </si>
  <si>
    <t>Registros de la  prueba aplicada</t>
  </si>
  <si>
    <t>Con oficio 4.2-52.5/426 del 23 de mayo de 2023, se remite acta 4.2-1.56/001 del 02 de marzo de 2023 respecto de la conciliación de pruebas de recibos SIMCA VS SQUID
Pasó de 80% a 100%</t>
  </si>
  <si>
    <t>Del análisis a la conciliación de una muestra de 103 casos, se encontró  concordancia entre la información de los aplicativos SIMCA y SQUID, por lo que se otorga un avance del 100%.</t>
  </si>
  <si>
    <t>Profesional  responsable procesos  DARCA
Profesional Especializado División TIC</t>
  </si>
  <si>
    <r>
      <rPr>
        <b/>
        <sz val="11"/>
        <color rgb="FF000000"/>
        <rFont val="Arial"/>
      </rPr>
      <t xml:space="preserve">Ingresos y recaudo por estampilla (A)
</t>
    </r>
    <r>
      <rPr>
        <sz val="11"/>
        <color rgb="FF000000"/>
        <rFont val="Arial"/>
      </rPr>
      <t>El reporte de facturación enero 1° y 31/12/2019 a los contratistas del sector público, ascendió a $4.054.347.000, de los que la administración recaudó $3.571.988.793 en los cuatros trimestres de 2019, según el reporte conciliado con la Tesorería de la Gobernación del Cauca; ingresos que representan el 89% de lo facturado.
En el reporte se identifican 14 facturas repetidas por igual concepto y sin anular, por  $41.041.000. A 31/12/2019 la facturación neta por concepto de Estampilla pro-Universidad del Cauca representó $4.013.306.000, de las cuales hubo facturas emitidas por la Universidad (aproximadamente 2.400) a los contratistas que suscribieron contratos en el sector público por $853.471.511.030, sin recaudar.
A raíz de la respuesta de la Universidad, ellos identificaron una diferencia por $729.538.000, producto de los cruces entre los reportes: Recaudo 2019 y RFAE, que corresponde a 36 facturas por $167.478.000 posiblemente duplicadas para ser analizadas, cobradas o anuladas si es el caso, y 128 facturas por $562.060.000 no pagadas por los deudores a la fecha que generaron el reporte en marzo de 2020.
Significa que los contratistas no están pagando la estampilla establecida en la Ordenanza No. 077 de 2009 y las acciones de gestión del recaudo de la estampilla establecida.</t>
    </r>
  </si>
  <si>
    <t>Inefectividad en las acciones de gestión del recaudo de la estampilla por parte de la UNICAUCA y de la Tesorería Departamental; las conciliaciones entre el Área de Cartera y  Tesorería y Contabilidad son generales y no de manera particular entre lo facturado y recaudado, existiendo facturas repetidas en el sistema Squid sin depurar, depósitos bancarios sin identificar</t>
  </si>
  <si>
    <t>Aplicar mecanismos de control  a la gestión efectiva  del  recaudo de la Estampilla pro-Universidad del Cauca.</t>
  </si>
  <si>
    <t>Ajustar e implementar el procedimiento de recaudo de estampilla pro Universidad del Cauca 180 años.</t>
  </si>
  <si>
    <t xml:space="preserve">Procedimiento de recaudo de estampilla pro Universidad del Cauca 180 años ajustado e implementado. </t>
  </si>
  <si>
    <t xml:space="preserve">La División de Gestión Financiera con oficio 5.2-52.2/007 del 17/11/2023 remitió las siguientes evidencias: 
1. Procedimiento PA-GA-5.2-PR-13 Reconocimiento, Registro y Control del Recaudo de la
Estampilla Universidad del Cauca.
2. Instructivo PA-GA-5.2-IN-2 Instructivo para cálculo a precios constantes estampilla Universidad del Cauca 180 años.
3. Oficios de solicitud de generación de Cuenta de Cobro a Vicerrectoría Administrativa - Crédito y Cartera, Cuenta de Cobro y Causación  por los meses de julio, agosto y septiembre de 2023.
</t>
  </si>
  <si>
    <t xml:space="preserve">2023-2: Se evidenció el ajuste del procedimiento de Reconocimiento, Registro y Control del Recaudo de la
Estampilla Universidad del Cauca, en el que atendieron las recomendaciones realizadas por la OCI en el seguimiento del primer semestre del 2023, observando la mejora en formulación de controles, la claridad en las actividades y designación de responsables, entre otros, y se evidenció su publicación en el portal web Institucional- Programa LVMEN. 
De igual manera, se revisó los documentos de implementación, observando la aplicación de actividades y controles proyectados en el procedimiento. 
Con la evidencia de la publicación e implentación del procedimiento, se determina el cumplimiento de la actividad en un 100%. </t>
  </si>
  <si>
    <t>Profesional Especializado Área  de Tesorería</t>
  </si>
  <si>
    <r>
      <rPr>
        <b/>
        <sz val="11"/>
        <color theme="1"/>
        <rFont val="Arial"/>
        <family val="2"/>
      </rPr>
      <t xml:space="preserve">Contratos de comodatos (A).
</t>
    </r>
    <r>
      <rPr>
        <sz val="11"/>
        <color theme="1"/>
        <rFont val="Arial"/>
        <family val="2"/>
      </rPr>
      <t>No. 2.3-31.7/061 de 2016 con la Gobernación del Cauca; no evidencia póliza de amparo vigente del bien entregado por $1.818.88 y  la última póliza No. 1001064 (certificación) estuvo vigente hasta el 8-05-2018; pese a que el "protector de cheques electrónico, modelo ID-300, 14 dígitos enteros" está al servicio de la Oficina de Rentas de la Gobernación del Cauca.
No. 5.5.31.7-016 de 2017 no se evidencia que el Hospital Susana López de Valencia incluyó  en su póliza el amparo de los bienes recibidos.
No. 2.3-31.8/027 de 2017 con  relación de 13 ítems a recibir por $67.500.000.  El registro de entrada de bienes al SRF es octubre 2019, por no estar habilitado y configurado para registrar bienes recibidos de terceros,  y se realizó por mayor valor, $73.175.000.  Sin evidencia de informes periódicos de supervisión de ejecución del contrato, y póliza de amparo de los bienes recibidos de la Fundación EMTEL.
No. 5.5-31.7/021 de 2018 por $40.451.200 el registro en el Sistema Reporte Financiero (SRF) fue en 2019  por $40.941.200,  mayor valor de lo previsto en el contrato.
No. 5.5.-31.8/01 de 2018, no evidencia cumplimiento de obligaciones pactadas, y en el expediente no reposa informe del supervisor designado, a quien le recordaron sus funciones el 9/05/2019 por la Vicerrectora Administrativa.Tampoco reposa copia de la póliza que ampara los bienes entregados en comodato al Hospital.
No. 5.5.-31.7/002 de 2018, no hay acta de entrega de bienes ni de registros en Almacén; no se evidencia la póliza que ampare los bienes adquirida por el Hospital U.S.J, hubo devolución de bienes según oficio de 09/10/2019, pero carece de soportes de registros en Almacén de las novedades y modificación del contrato.</t>
    </r>
  </si>
  <si>
    <t xml:space="preserve">Los controles establecidos para el registro y control de bienes y supervisión contractual son inadecuados y/o no se aplican, y por deficiencias en el diseño y aplicación de las políticas contables para activos no generadores de efectivo.
</t>
  </si>
  <si>
    <t>Con oficio 5.4.5-92/1582 del 20 de Junio de 2023 el Área de Adquisiciones e Inventarios reporta la publicación del procedimiento PA-GA-5.4.5-PR-18 Entrega o Recepción de Bienes en Comodato en su versión 03 publicada el 02 de diciembre de 2022
2. Actualización formato PA-GA-5.4.5-PR-18 Bienes en comodato
3. solicitud publicación"
II semestre 2023:
El Área de Adquisiciones e inventarios con oficio 5.4.5-92/3201 del 14/11/2023 remitió: 
Procedimiento PA-GA-5.4.5-PR-18 versión 4 del 10/11/2023 publicado en el programa Lvmen de la Universidad del Cauca
Solicitud de actualización, ajustes de actividades en colaboración con las TICS: reestructuración del procedimiento.</t>
  </si>
  <si>
    <t>La OCI  concluye que el proyecto de ajuste del procedimiento PA-GA-5.4.5-PR-18 V3  requiere mejoras en su objetivo, actividades, controles y responsables, así como la aprobación de las modificaciones realizadas a la Resolución R 669 del 2005 y Acuerdo 043 del 2002. 
El porcentaje de avance se mantiene en 60%,  el 40% restante queda sujeto a los ajustes
II semestre 2023:
La actividad 1 no se contempla en el alcance del procedimiento documentado en versión 4, refiere varios responsables que no pertenecen al Área de adquisiciones e inventarios y el punto de control refiere "certificado de conveniencia y oportunidad" el que se describe en la actividad  3.
La actividad 5 no es clara en la necesidad de comprar bienes para dar en comodato
El procedimiento no define criterios para el registo contable de los bienes de comodato en los sistemas de información.
El procedimiento presenta actividades segmentadas para la Universidad como comodante y comodatario
El porcentaje de avance se mantiene en 60%,  el 40% restante queda sujeto a los ajustes</t>
  </si>
  <si>
    <t>Profesional Especializado Área Adquisiciones e Inventarios. 
Jefe Oficina Jurídica</t>
  </si>
  <si>
    <r>
      <rPr>
        <b/>
        <sz val="11"/>
        <color theme="1"/>
        <rFont val="Arial"/>
        <family val="2"/>
      </rPr>
      <t>Activos generadores de efectivo (A)</t>
    </r>
    <r>
      <rPr>
        <sz val="11"/>
        <color theme="1"/>
        <rFont val="Arial"/>
        <family val="2"/>
      </rPr>
      <t xml:space="preserve">
El Manual de Políticas Contables adoptado por la UNICAUCA presenta deficiencias en la definición y aplicación de políticas específicas para activos generadores de efectivo (UGE):  
No determinar UGE que posee la universidad.
No aplicar la revisión y evaluación de los indicios de deterioro del valor de los activos generadores de efectivo, al final del periodo contable 2019 según lo establece el Art. 253 para c/u de sus activos en forma individual.
Revela información de forma general en las Notas 13 y 14 del Estado de Situación Financiera, en tanto se identifica que la entidad no incluyó los aspectos relevantes requeridos en los artículos 156, 223 y 264 del Manual de Políticas Contables, como método de depreciación, vida útil, depreciación acumulada, si fueron o no deteriorados, entre otros, y la vida útil, valor residual y método de amortización aplicados en los activos intangibles reconocidos en la cuenta 1970.
El Estado de situación financiera de 2019 presentaron Activos intangibles (cuenta 1970) como Activos Corrientes por $3.304.322.719, cuando la política definida en el artículo 224 determinó clasificar como Activos no corrientes.</t>
    </r>
  </si>
  <si>
    <t>Deficiencias en el seguimiento y control a las Políticas contables adoptadas en el Manual aprobado mediante Acuerdo Superior 012 de 2018 y por datos errados e incongruentes en el sistema SRF que difieren del Marco Normativo para entidades de Gobierno</t>
  </si>
  <si>
    <t xml:space="preserve">Establecer mecanismos de control al cumplimiento de las políticas contables internas, en consonancia con  la dinámica contable pública. </t>
  </si>
  <si>
    <t>Incorporar en los procedimientos controles a  las políticas contables.</t>
  </si>
  <si>
    <r>
      <t xml:space="preserve">Con oficio 5.2-52.2/0068 del 13/06/2022, la División de Gestión Financiera remite las siguientes evidencias: 
*Solicitud creación procedimiento demandas, arbitrajes y conciliaciones
*Procedimiento PA-GA--5.2-PR-15 "Procedimiento para el registro de demandas, arbitrajes y conciliaciones extrajudiciales interpuestas o radicadas por terceros en contra de la entidad"
Se evidencia la publicación del procedimiento en el Banner LVMEN de la página web Institucional, LINK: 
http://facultades.unicauca.edu.co/prlvmen/sites/default/files/procesos/PA-GA-5.2-PR-15%20Procedimientos%20Demandas%2C%20arbitrajes%20y%20conciliaciones%20interpuesta%20o%20radicadas%20por%20terceros%20en%20contra%20de%20la%20entidad%20V1.pdf
</t>
    </r>
    <r>
      <rPr>
        <b/>
        <sz val="11"/>
        <color rgb="FF000000"/>
        <rFont val="Arial"/>
        <family val="2"/>
      </rPr>
      <t>OCI:</t>
    </r>
    <r>
      <rPr>
        <sz val="11"/>
        <color rgb="FF000000"/>
        <rFont val="Arial"/>
        <family val="2"/>
      </rPr>
      <t xml:space="preserve"> De acuerdo con las evidencias remitidas y la verificación de la publicación del procedimiento, se determina cumplimiento de la acción de mejora, por lo que el </t>
    </r>
    <r>
      <rPr>
        <b/>
        <sz val="11"/>
        <color rgb="FF000000"/>
        <rFont val="Arial"/>
        <family val="2"/>
      </rPr>
      <t>avance pasa del 90% al 100%</t>
    </r>
    <r>
      <rPr>
        <sz val="11"/>
        <color rgb="FF000000"/>
        <rFont val="Arial"/>
        <family val="2"/>
      </rPr>
      <t xml:space="preserve">. </t>
    </r>
  </si>
  <si>
    <t>Profesional Especializado Contador 
Jefe Administrativo y Financiero Unidad de Salud
Vicerrectoría Administrativa 
Cartera</t>
  </si>
  <si>
    <r>
      <rPr>
        <b/>
        <sz val="11"/>
        <color rgb="FF000000"/>
        <rFont val="Arial"/>
      </rPr>
      <t xml:space="preserve">Normas Internas frente al marco normativo para entidades de Gobierno (A).
</t>
    </r>
    <r>
      <rPr>
        <sz val="11"/>
        <color rgb="FF000000"/>
        <rFont val="Arial"/>
      </rPr>
      <t xml:space="preserve">
Unidad de Regionalización: La  administración de la entidad durante el 2019 ejecutó recursos con cargo a esta unidad, pero las transacciones y hechos económicos y legales no fueron medidos y reconocidos en la contabilidad de esta unidad, sino que afectaron los saldos de la Unidad 1; decisión que no fue presentada ni revelada dentro de la información financiera en los Estados Financieros aprobados para la vigencia fiscal 2019.
Los procedimientos de los diferentes procesos misionales y transversales, excepto financiera, que son generadores de información financiera no fueron objeto de revisión ni actualización conforme al Marco normativo de información financiera para Entidades de Gobierno, y la información financiera no fluye de manera adecuada y oportuna hacia Tesorería y Contabilidad; principalmente lo relacionado con proyectos de investigación, convenios, contratos de obras y recaudos.</t>
    </r>
  </si>
  <si>
    <t>Diversidad de normas expedidas por la Universidad que no son objeto de seguimiento y control frente a las exigencias de la información financiera, y por deficiencias de los sistemas de información al no estar acondicionados a las necesidades del marco normativo para la medición y reconocimiento de los hechos económicos y transacciones</t>
  </si>
  <si>
    <r>
      <t>Reconocer los recursos  financieros  existentes en los registros contables y de tesorería en la Unidad 05 y trasladarlos a la Unidad 01</t>
    </r>
    <r>
      <rPr>
        <b/>
        <sz val="11"/>
        <color theme="1"/>
        <rFont val="Arial"/>
        <family val="2"/>
      </rPr>
      <t xml:space="preserve">. 
</t>
    </r>
  </si>
  <si>
    <t xml:space="preserve">Conciliar la información bancaria de la Unidad 05 con los extractos, libros contables y de tesorería de 
 las Unidades 01 y 05. 
Registrar la nota de tesorería de las partidas resultado de la conciliación entre las Unidades 01 y 05 para la inactivación de la cuenta bancaria Unidad 05
Inactivar  en el sistema de información financiera Finanzas Plus a la Unidad 05
</t>
  </si>
  <si>
    <t xml:space="preserve">Registro de conciliación bancaria.
Registro de inactivación cuenta bancaria Unidad 05
Registro de inactivación de la Unidad 05 
</t>
  </si>
  <si>
    <r>
      <t xml:space="preserve">La División de Gestión Financiera con oficio 5,2-52.2/042 del 26/11/2021 remite las siguientes evidencias:
* Conciliación bancaria a julio de la cuenta 520-646357. 
*Extracto a julio de la cuenta 520-646357.
* Libro bancario a julio de la cuenta 520-646357. 
*Conciliación de los saldos a julio.
*BRSB de la unidad 05 a julio.
*CBAP de la unidad 05 a julio. 
* Pantallazo MCEF de estado cancelado de la cuenta 520-646357.
Observación OCI: 
Se  validan las evidencias constatando el cumplimiento de la unidad de medida. 
</t>
    </r>
    <r>
      <rPr>
        <b/>
        <u/>
        <sz val="11"/>
        <color rgb="FF000000"/>
        <rFont val="Arial"/>
        <family val="2"/>
      </rPr>
      <t xml:space="preserve">Se asigna avance del 100%. 
</t>
    </r>
    <r>
      <rPr>
        <sz val="11"/>
        <color rgb="FF000000"/>
        <rFont val="Arial"/>
        <family val="2"/>
      </rPr>
      <t xml:space="preserve">
</t>
    </r>
  </si>
  <si>
    <t xml:space="preserve">División de Gestión Financiera. </t>
  </si>
  <si>
    <r>
      <rPr>
        <b/>
        <sz val="11"/>
        <color theme="1"/>
        <rFont val="Arial"/>
        <family val="2"/>
      </rPr>
      <t>Ejecución Plan Anual de Adquisiciones (PAA) 2019 (A</t>
    </r>
    <r>
      <rPr>
        <sz val="11"/>
        <color theme="1"/>
        <rFont val="Arial"/>
        <family val="2"/>
      </rPr>
      <t>)
La administración de la UNICAUCA en la vigencia  2019 no utilizó el PAA que aprobó, como un instrumento de gestión administrativa para el efectivo uso racional y estratégico de los recursos públicos ejecutados en las diferentes fuentes de financiación, toda vez que, de acuerdo con los contratos y ordenes de compras revisadas, se identificaron bienes y servicios, cuantías y/o plazos, que superaron lo programado en el PAA.</t>
    </r>
  </si>
  <si>
    <t xml:space="preserve">No se verificó efectivamente que los bienes y servicios solicitados estuvieran programados en el PAA 2019, ni hubiesen solicitado la actualización conforme al artículo segundo de la Resolución 063 de 2019.
</t>
  </si>
  <si>
    <t xml:space="preserve">
Reorientar la metodología de formulación del Plan Anual de Adquisiciones como herramienta estratégica de gestión.</t>
  </si>
  <si>
    <t xml:space="preserve">
Documentar, socializar y aplicar el procedimiento para la elaboración,  seguimiento y actualización del Plan Anual de Adquisiciones.</t>
  </si>
  <si>
    <t>Procedimiento documentado, socializado y aplicado</t>
  </si>
  <si>
    <r>
      <t xml:space="preserve">Corte Abril 2021: se evidencia en el programa Lvmen el procedimiento "Elaboración, Seguimiento y Actualización del Plan de Anual de Adquisiciones" código  PA-GA-5.4.5 -PR-19 V1. Fecha de actualización 07/04/2021. 
Con base en la unidad de medida, la OCI asigna avance del 70% teniendo en cuenta la documentación y socialización, pendiente la verificación de su implementación. 
Corte segundo periodo 2021:
-La OPDI informó sobre el requerimiento de información a la Vicerrectoría Administrativa, sobre los proyectos en el BPPUC, sin respuesta, situación que afecta el porcentaje de avance general en lo que concierne a la OPDI. 
Con oficio 5-.71.7/0991 del 26/11/2021 la Vicerrectoría Administrativa  informó que el avance de la actividad corresponde al Área de Adquisiciones. 
El Área de Adquisiciones e Inventarios mediante correo electrónico scasanova@unicauca.edu.co del 25/11/2021, "Se realiza la socializacion del procedimiento del Plan Anual de Adquisiciones a las dependencias académicas y administrativas.  Se realiza la actualización del PAA versión 2. Se realiza seguimiento al PAA de acuerdo con la peridicidad establecida en el procedimiento". 
Evidencias: 
-Correos eletrónicos. 
-Resolución Rectoral 0346 del 28/06/2021 actualiza el PAA justificado en la inclusión de necesidades de las unidades académicas y administrativas. 
-Matriz en formato Excel como evidencia del seguimiento al PAA
El Área de Adquisiciones desde correo electrónico scasanova@unicauca.edu.co, remitió el 14/01/2022 el informe final del Plan Anual de Adquisiciones 2021, corte 31/12/2021. 
</t>
    </r>
    <r>
      <rPr>
        <b/>
        <sz val="11"/>
        <color rgb="FF000000"/>
        <rFont val="Arial"/>
        <family val="2"/>
      </rPr>
      <t xml:space="preserve">Observación OCI:
</t>
    </r>
    <r>
      <rPr>
        <sz val="11"/>
        <color rgb="FF000000"/>
        <rFont val="Arial"/>
        <family val="2"/>
      </rPr>
      <t xml:space="preserve">
Las evidencias suministradas reflejan el desarrollo de la Unidad de medida, por lo que</t>
    </r>
    <r>
      <rPr>
        <b/>
        <sz val="11"/>
        <color rgb="FF000000"/>
        <rFont val="Arial"/>
        <family val="2"/>
      </rPr>
      <t xml:space="preserve"> la OCI asigna avance del 100%.</t>
    </r>
  </si>
  <si>
    <t xml:space="preserve">
Vicerrectora Administrativa 
Jefe Oficina de Planeación y  Desarrollo Institucional
Profesional Especializado Área Adquisiciones e Inventarios
</t>
  </si>
  <si>
    <r>
      <rPr>
        <b/>
        <sz val="11"/>
        <color theme="1"/>
        <rFont val="Arial"/>
        <family val="2"/>
      </rPr>
      <t>Saldos iniciales activos no generadores de efectivo. (A)</t>
    </r>
    <r>
      <rPr>
        <sz val="11"/>
        <color theme="1"/>
        <rFont val="Arial"/>
        <family val="2"/>
      </rPr>
      <t xml:space="preserve">
Los registros de saldos iniciales de los bienes inmuebles que se contabilizaron en la cuenta 1640 EDIFICACIONES, por $135.433.000.000, se reconocieron de acuerdo con los valores determinados en los avalúos técnicos a diciembre de 2017, éstos no definieron la vida económica residual de los inmuebles objeto de avalúos, y su elaboración no tuvo presente las normas relacionadas al Marco normativo de información financiera bajo NIIF.
No se realizó adecuadamente la medición posterior de la Propiedad, Planta y Equipo, en tanto,  no revisó los indicios de existencia de deterioro de los inmuebles en servicio al final del periodo contable 2019 y no definió en su Manual los eventos que dan origen a indicios de deterioro, sino que determinó las fuentes de información.
Revela información de forma general y de análisis de saldos en las Notas 10 del Estado de Situación Financiera, sin especificar lo determinado en los Art. 188 y 276.
No determina la materialidad para los activos generadores y no generadores de efectivo, en las políticas contables.</t>
    </r>
  </si>
  <si>
    <t>Falencias en el proceso de contratación de los servicios de avalúos técnicos, al desconocimiento de las exigencias del Marco Normativo Contable para Entidades de Gobierno y acciones deficientes por parte de la Alta Dirección para atender el sistema de control interno contable.</t>
  </si>
  <si>
    <t>Ajustar el registro de la vida ùtil y revisar los indicios de deterioro de bienes inmuebles no generadores de efectivo</t>
  </si>
  <si>
    <t>Registros de ajuste y revisión de indicios de deterioro de inmuebles no generadores de efectvo</t>
  </si>
  <si>
    <r>
      <t xml:space="preserve">El Área de Adquisiciones e Inventarios desde el correo institucional scasanova@unicauca.edu.co del 10/06/2022 remite el instructivo para el cálculo de deterioro de valor de los activos no generadores de efectivo, la Unidad de Salud  desde el correo electrónico martinmosquera@unicauca.edu.co, del 05/07/2022, envía matriz soporte de los cálculos de deterioro, y la División de Gestión Financiera con oficio 5.2-52.2/067 del 09/06/22 remitió la nota de contabilidad. 
</t>
    </r>
    <r>
      <rPr>
        <b/>
        <sz val="11"/>
        <color rgb="FF000000"/>
        <rFont val="Arial"/>
        <family val="2"/>
      </rPr>
      <t xml:space="preserve">OCI: 
</t>
    </r>
    <r>
      <rPr>
        <sz val="11"/>
        <color rgb="FF000000"/>
        <rFont val="Arial"/>
        <family val="2"/>
      </rPr>
      <t xml:space="preserve">
En la información remitida por la Unidad de Salud y la División de Gestión Financiera, se evidencia el registro de los cálculos del deterioro de los inmuebles de las Unidades 1 y 2, donde se determina el deterioro de un (1) inmueble perteneciente a la Unidad de Salud, y el ajuste en la respectiva nota contable, por lo que</t>
    </r>
    <r>
      <rPr>
        <b/>
        <sz val="11"/>
        <color rgb="FF000000"/>
        <rFont val="Arial"/>
        <family val="2"/>
      </rPr>
      <t xml:space="preserve"> el avance pasa del 20% al 100%.</t>
    </r>
  </si>
  <si>
    <t xml:space="preserve"> 
Profesional Especializado Área Adquisiciones e Inventarios
Profesional Especializado Contador
</t>
  </si>
  <si>
    <r>
      <rPr>
        <b/>
        <sz val="11"/>
        <color theme="1"/>
        <rFont val="Arial"/>
        <family val="2"/>
      </rPr>
      <t>Registro eKogui (A-D)</t>
    </r>
    <r>
      <rPr>
        <sz val="11"/>
        <color theme="1"/>
        <rFont val="Arial"/>
        <family val="2"/>
      </rPr>
      <t xml:space="preserve">
A 31 de diciembre de 2019 la Universidad del Cauca no ha efectuado el registro en la plataforma eKOGUI de los procesos con radicación Nos. 200301397-00 y 201700265-00.</t>
    </r>
  </si>
  <si>
    <t>Fallas en los controles diseñados.</t>
  </si>
  <si>
    <t>Asegurar la efectividad de los controles en garantía de la completitud de la información litigiosa E-kogui</t>
  </si>
  <si>
    <t xml:space="preserve">Documentar el procedimiento de registro de información litigiosa
Diseñar nuevos controles al registro de información litigiosa, ajustados a las   normativas nacionales
</t>
  </si>
  <si>
    <t xml:space="preserve">En el informe 2.6-52.18/05 de 2021 de seguimiento a la información litigiosa registrada en el aplicativo eKOGUI,  se evidencian controles en el registro de los procesos judiciales de la Universidad del Cauca. 
En reunión junio 2021 ante requerimiento CGR se concluyó: Se presentaron las modificaciones al clausulado de las minutas contractuales que se suscriben con los abogados externos, en cuanto a la obligación de resgitro de la información litigiosa,  controles al registro de información mensuales y capacitaciones a abogados externos e internos frente a las obligaciones que surgen por la plataforma Ekogui. 
Pasó del 0 al 100%. </t>
  </si>
  <si>
    <t xml:space="preserve">Jefe Oficina Jurídica
</t>
  </si>
  <si>
    <r>
      <rPr>
        <b/>
        <sz val="11"/>
        <color theme="1"/>
        <rFont val="Arial"/>
        <family val="2"/>
      </rPr>
      <t>Sanción de Ministerio de Trabajo (A-F-D).</t>
    </r>
    <r>
      <rPr>
        <sz val="11"/>
        <color theme="1"/>
        <rFont val="Arial"/>
        <family val="2"/>
      </rPr>
      <t xml:space="preserve">
La Territorial Cauca del Ministerio de Trabajo por medio de la Res.118 del 7/05/2018 impuso sanción pecuniaria a la UNICAUCA por $31.249.680, quedando en firme en Res. 087 del 28/02/2019, una vez se decidió la impugnación presentada por el alma mater, al considerar que se cometió vulneración al artículo 416-A. del  C.S.T. relacionado con el derecho de permiso sindical.
Para dar cumplimiento a la medida administrativa, el ente universitario expidió la Resolución 267 del 8/04/2019, que ordenó a la División de Gestión Financiera la realización del registro de disponibilidad presupuestal y generar el pago de $31.249.680, el cual fue llevado a cabo el día 9/04/2019, tal como se soporta en comprobante de egreso 201900016</t>
    </r>
  </si>
  <si>
    <t>La sanción fue generada a causa de los hechos producidos por la administración de la Universidad del Cauca y que el Ministerio del Trabajo consideró eran constitutivos de vulneración al derecho de permiso sindical regulado en el C.S.T</t>
  </si>
  <si>
    <t>Establecer criterios para el otorgamiento de derechos  derivados de la  asociación sindical,  con arreglo a las disposiciones vigentes</t>
  </si>
  <si>
    <t>Definir  mecanismos de  trámite  del  permiso sindical a los docentes universitarios</t>
  </si>
  <si>
    <t>Registro mecanismos y criterios</t>
  </si>
  <si>
    <t>La División de Gestión del Talento Humano remite copia del acta final que registra el acuerdo de la negociación sindical con la Asociación Sindical de Profesores Universitarios -ASPU del 29/12/2020. 
Pasó de 0 a 100%</t>
  </si>
  <si>
    <t>División Gestión Talento Humano
Jefe Oficina Jurídica
Vicerrector Académico</t>
  </si>
  <si>
    <r>
      <rPr>
        <b/>
        <sz val="11"/>
        <color theme="1"/>
        <rFont val="Arial"/>
        <family val="2"/>
      </rPr>
      <t>Norma de Austeridad del Gasto (A)</t>
    </r>
    <r>
      <rPr>
        <sz val="11"/>
        <color theme="1"/>
        <rFont val="Arial"/>
        <family val="2"/>
      </rPr>
      <t>.
La Entidad manifiesta que la verificación previa que se realiza con el fin de determinar la existencia o no de pluralidad en la contratación de prestación de servicios en cumplimiento de esta norma de austeridad, se realiza actualmente cotejando el Sistema de Rendición Electrónica de la Cuenta e Informes – SIRECI, y no mediante el sistema ACOPS, como lo establece el artículo 61 del Acuerdo No. 051 de 2007, hecho que indica que el Estatuto Financiero y Presupuestal de la Universidad no ha sido actualizado en este sentido</t>
    </r>
  </si>
  <si>
    <t>Debilidades de control interno que trae como consecuencia mantener vigente una norma cuyo procedimiento no se lleve a cabo en la práctica (verificación en el sistema ACOPS), sino en el SIRECI.</t>
  </si>
  <si>
    <t>Actualizar el Estatuto Financiero y presupuestal a la realidad de la operación institucional</t>
  </si>
  <si>
    <t>Ajustar el artículo 61 del Estatuto Financiero y Presupuestal,  frente a la verificación de pluralidad de contratos de prestación de servicios.</t>
  </si>
  <si>
    <t xml:space="preserve">Registro de ajuste </t>
  </si>
  <si>
    <r>
      <t xml:space="preserve">Con oficio 5-71.7/0991 del 26/11/2021 la Vicerrectoría Administrativa adjunta el registro del acuerdo 051 de 2007- Estatuto Financiero y Presupuestal modificado en el artículo 61. 
La OCI valida la evidencia reportada y </t>
    </r>
    <r>
      <rPr>
        <b/>
        <sz val="11"/>
        <color rgb="FF000000"/>
        <rFont val="Arial"/>
        <family val="2"/>
      </rPr>
      <t>otroga un avance del 100%</t>
    </r>
  </si>
  <si>
    <t>Vicerrectora Administrativa
Jefe Oficina Jurídica</t>
  </si>
  <si>
    <r>
      <rPr>
        <b/>
        <sz val="11"/>
        <color theme="1"/>
        <rFont val="Arial"/>
        <family val="2"/>
      </rPr>
      <t>Rendición gestión contractual aplicativo SIRECI (A- PAS).</t>
    </r>
    <r>
      <rPr>
        <sz val="11"/>
        <color theme="1"/>
        <rFont val="Arial"/>
        <family val="2"/>
      </rPr>
      <t xml:space="preserve">
1. Contratos rendidos en formulario 426 F5.4: GESTIÓN CONTRACTUAL - CONVENIOS / CONTRATOS INTERADMINISTRATIVOS en forma incorrecta, al no constituirse como convenios o contratos interadministrativos: 
Suministros del 2019: 5.5-31.6/001, 5.5-31.6/002, 5.5-31.6/003,5.5-31.6/006,5.5-31.6/001/008, 5.5-31.6/0012,5.5-31.6/013, 5.5-31.6/015, 5,5-31,6/017,  5.5-31.6/022, 5.5-31.6/024, 5.5-31.6/027,5.5-31.6/030, 5.5-31.6/042, 5.5-31.6/043,5.5-31.6/044, 5.5-31.6/045, 5.5-31.6/047,5.5-31.6/048,5.5-31.6/049 , 5,5-31,4/050 de 2019 obra.
Compraventa 2019:5.5-31.3/004, 5.5-31.3/009, 5.5-31.3/010, 5.5-31.3/014; 5.5-31.3/016, 5.5-31.3/018, 5.5-31.3/019; 5.5-31.3/028, 5.5-31.3/029, 5.5-31.3/031.5-31.3/034, 5.5-31.3/033, 5.5-31.3/035, 5.5-31.3/037; 5.5-31.3/038, 5.5-31.3/041
Obra 2019:5.5-31.4/005, 5.5-31.4/020; 5.5-31.4/039, 5-31.4/040,  5.5-31.4/050
Interventoría 2019: 5.5-31.9/023; 5.5-31.9/025, 5.5-31.9/046
OPS 2019: 5.5-31.5/026
Arrendamiento 2019; 5.5-31.1/036
2.Negocios jurídicos no rendidos en formularios del SIRECI vigencia 2019: 10,1-32,7/001, 10,1-32,7/002, 10.1-32.7/003, 10,2-32,6/004, 2.5.32.7-094.
3. Negocios jurídicos con contratistas bajo ffiguras de Consorcio o Unión Temporal: contratos del 2019 Nos. 5,5-31,9/023, 5,5-31,4/046  y 5,5-31,3/029, que revisados los formularios 427 F5.5: GESTIÓN CONTRACTUAL - INTEGRANTES CONSORCIOS Y UNIONES TEMPORALES vigencia 2019, no se evidencia la rendición de la información.</t>
    </r>
  </si>
  <si>
    <t>Debilidades en el control que realiza la Entidad al momento de rendir este reporte al aplicativo SIRECI.</t>
  </si>
  <si>
    <t>Asegurar la calidad del  reporte de la  contratación  a través del aplicativo SIRECI.</t>
  </si>
  <si>
    <t>Revisar y ajustar  los controles aplicados  sobre la  información contractual.</t>
  </si>
  <si>
    <t>Registro de cumplimiento de controles</t>
  </si>
  <si>
    <r>
      <t xml:space="preserve">
Ante requerimiento de la CGR, en reunión de junio de 2021 se obtuvo: La Oficina de Planeación y Desarrollo Institucional-OPDI, con comunicación del 24/06/2021 informó respecto de la aplicación de la corrección y la actividad de mejoramiento. 
1. Correctivo: se solicitó a las Dependencias responsables, corregir la información de la gestión contractual reportada al aplicativo SIRECI, respecto de los contratos relacionados en el hallazgo.
2. Actividad de mejora: La OPDI convocó a la Vicerrectoría Administrativa y a la Unidad de Salud para asumir compromisos tendientes a  fortalecer los controles en el registro de la información en el SIRECI, entre los que se destacan la capacitación a los funcionarios responsables de la transmisión. (Actas 5-1.73/012 del 23/04/2020 y 10.2-1.90/002 del 23/04/2020). 
La OPDI capacitó a los responsables de la transmisión al SIRECI (Acta 5.4-1.56/910 del 27/08/2020). 
En el requerimiento mensual  instruye sobre las criterios mínimos a considerar en el reporte por cada formulario   advirtiendo a los procesos responsables el sumnistro de la  información los errores generados en la transmisión para su corrección. 
</t>
    </r>
    <r>
      <rPr>
        <b/>
        <sz val="11"/>
        <color rgb="FF000000"/>
        <rFont val="Arial"/>
        <family val="2"/>
      </rPr>
      <t xml:space="preserve">Requerir a la OPDI el desarrollo de las capacitaciones de transmisión del SIRECI. </t>
    </r>
  </si>
  <si>
    <t xml:space="preserve"> 
Oficina de Planeación y Desarrollo Institucional 
 </t>
  </si>
  <si>
    <r>
      <rPr>
        <b/>
        <sz val="11"/>
        <color theme="1"/>
        <rFont val="Arial"/>
        <family val="2"/>
      </rPr>
      <t xml:space="preserve">Archivo de soportes contractuales (A).
</t>
    </r>
    <r>
      <rPr>
        <sz val="11"/>
        <color theme="1"/>
        <rFont val="Arial"/>
        <family val="2"/>
      </rPr>
      <t>En los siguientes expedientes contractuales  2019 (entre otros) se observan:
1. Contrato 5,5-31,3/010 no adjunta Fra. A2 7933 del 27/07/2019 por $137.000.000,  ni soportes de pago seguridad social y parafiscales. 
2. Contrato 5,5-31,3/004 no allega Fra. 9257 del 29 /04/2019 por $195.235.068, ni certificación expedida por el revisor fiscal del contratista y el l acta de ingreso a almacén No. 20190010 del 25/05/2019.
3. Contrato 5,5-31,3/033 de 2019 no aporta Fra 195 del 13/12/2019, ni certificación expedida por el revisor fiscal del contratista, evaluación del proveedor suscrita por el supervisor; acta de entrada almacén  20190046 del 16/12/2019.
4. Contrato 5,5-31,9/025 no evidencia actas parciales de interventoría ejecutada, justificaciones técnicas y recibo parcial a satisfacción “por parte del supervisor del contrato. (suscritas entre el contratista, supervisor y ordenador del gasto).
5. Contrato de obra 5,5-31,4/039 inició el 17/12/2019 y  plazo de 4 meses, el expediente no evidencia registro del avance de ejecución del objeto contractual.
6. Contrato 5,5-31,6/048 con inicio 26/12/2019,  plazo 45 días calendario, el plazo de ejecución cumplido, solo allegan soportes de avance de ejecución por $50.521.747, cuando el valor total del contrato es de $335.638.905.
7. Los contratos 42, 43 y 44, con término de ejecución vencidos, el expediente no videncia el cumplimiento del objeto contractual.
8. Los contratos 10.1-31.5/007, 10.2-31.5/018, 10.2-31.5/024, 10.2-31.5/022, 10.2-31.5/021, en los expedientes contractuales no se adjuntan las facturas presentadas por las entidades contratista para su pago.</t>
    </r>
  </si>
  <si>
    <t xml:space="preserve">Debilidades de supervisión.
</t>
  </si>
  <si>
    <t xml:space="preserve">Implementar controles a la gestión documental derivada de la vigilancia contractual administrativa, técnica y financiera.  </t>
  </si>
  <si>
    <t>Consolidar y organizar  las carpetas  contractuales  conforme a las  Tablas de Retención Documental-TRD.</t>
  </si>
  <si>
    <t xml:space="preserve">Registros de organización documental  </t>
  </si>
  <si>
    <t>1320 Carpetas para los contratos vigencia 2019</t>
  </si>
  <si>
    <t>Con respecto a la muestra fijada por la OCI para la revisión de los expedientes contractuales del archivo del Área de contratación de la Vicerrectoría Administrativa, vigencia 2019, como consta en acta 2.6-1.60/25 05/12/2022, se encontró:
Legajos organizados conforme a listas de chequeo.
Algunas situaciones  relacioandas con la perforación, expurgo y foliación, que se deberan ajustarse para realizar la transferencia correspondiente.</t>
  </si>
  <si>
    <t>Vicerrectora Administrativa
Secretaría General
Jefe Oficina Jurídica</t>
  </si>
  <si>
    <r>
      <t xml:space="preserve">Registros de entregas y salidas de almacén. En las dependencias de la Unidad 1 (Administración General) se identificaron debilidades en el cumplimiento de los procedimientos y controles establecidos para la clasificación, administración y custodia de los bienes de propiedad de la Entidad, como se evidencia a continuación: a. No registran ni tramitan oportunamente los formatos de entradas. 
</t>
    </r>
    <r>
      <rPr>
        <b/>
        <sz val="11"/>
        <color theme="1"/>
        <rFont val="Arial"/>
        <family val="2"/>
      </rPr>
      <t xml:space="preserve">
</t>
    </r>
  </si>
  <si>
    <t>Desarticulación entre las instancias administrativas  involucradas en el procedimiento de  gestión de pérdida, hurto o daño de bienes institucionales-</t>
  </si>
  <si>
    <t xml:space="preserve">Establecer y aplicar controles efectivos para el registro y seguimiento  de los bienes que han sido objeto de pérdida, hurto o daño. </t>
  </si>
  <si>
    <t>Actualizar las normas y el procedimiento  para  el manejo de las situaciones de pérdida, hurto o daño de bienes universitarios</t>
  </si>
  <si>
    <t>Norma y Procedimiento actualizados</t>
  </si>
  <si>
    <t>"El Área de Adquisiciones e Inventarios con oficio 5.4.5-92/3201 del 14/11/2023 remitió las siguientes evidencias: 
1. Acta reunión clasificacion y administración firmada
2. Acta de reunión General Planes de mejoramiento 28 de septiembre firmada
3. Acta reunión socialización 26 de octubre de 2023 Acuerdo 043
4. Acta firmada reuniones acuerdo 043
5. Documento Derogación Acuerdo 043
6. Oficio vadm derogación Acuerdo Superior 043 de 2002
7. Correo de  Procedimiento PA-GA-5.4.1-PR-10 Pérdida o Hurto de Bienes
8. PROYECTO NUEVO ACUERDO- DEROGACIO 043 DE 2002- AREA DE ADQUISICIONES"</t>
  </si>
  <si>
    <t xml:space="preserve">2023-2: La OCI revisó el proyecto de ajuste del Procedimiento de PA-GA-5.4.1-PR-10 Pérdida o Hurto de Bienes y realizó una reunión con el Área de Adquisiciones e Inventarios y la División de Gestión Financiera el día 13/12/2023, en la que se asesoró y recomendó realizar ajustes respecto del alcance, normatividad, actividades y controles, además se sugirió realizar algunas consultas con el Centro de Gestión de la Calidad...
Por lo anterior, se asignó un avance del 5%, pasando al 65%, sujeto al ajuste, aprobación y publicación. 
De la revisión al proyecto del nuevo acuerdo que modifica el Acuerdo 043 del 2002, se concluye que éste tiene un avance del 80%, y en sesión del Comité de Sostenibilidad Contable del 15/12/2023, se dejó el compromiso de que la Oficina Jurídica y el Área de Adquisiciones se reúnan el 18/12/2023 para aclarar las observaciones de la Oficina Jurídica, y entregar el proyecto al Vicerrector Administrativo, quien se comprometió a hacer entrega de éste proyecto al Representante legal de la Institución, para que se programe la presentación al Consejo Superior para su aprobación. 
Al respecto, la OCI comunicó que incrementará el avance cuando se evidencie la radicación del proyecto del Acuerdo ante el Representante Legal. 
Así, computados los porcentajes del procedimiento y la norma, el avance de la actividad pasa al 72%, sujeto al ajuste, aprobación y publicación del procedimiento y el Acuerdo. </t>
  </si>
  <si>
    <t>Vicerrectora Administrativa
Jefe Oficina Jurídica
Profesional Especializado Área Adquisiciones
Profesional Especializado-Contador</t>
  </si>
  <si>
    <t xml:space="preserve">Registros de entregas y salidas de almacén.  al) se identificaron debilidades en el cumplimiento de los procedimientos y controles establecidos para la clasificación, administración y custodia de los bienes de propiedad de la Entidad, como se evidencia a continuación: (...) 
 i. Los soportes y documentos relacionados con las adquisiciones, entregas y novedades de los recursos físicos de la Universidad,  necesarios para soportar su calidad y control no reposan en forma organizada y centralizada acorde a la naturaleza jurídica y financiera (garantías, contratos de comodato, etc.).  j. En los expedientes de los funcionarios que tienen bienes devolutivos a cargo, no reposan todos los soportes de Salidas de Almacén (A22) ni de los traspasos y devoluciones realizadas a bodega de inservibles, y en otros casos lo formatos carecen de las firmas de recibo por los responsables. 
</t>
  </si>
  <si>
    <t>Establecer mecanismos de control a la gestión documental de las carpetas de los cuentadantes de  bienes institucionales</t>
  </si>
  <si>
    <t>Actualizar las carpetas de  los cuentadantes de bienes universitarios,  conforme a la Tabla de Retención Documental-TRD</t>
  </si>
  <si>
    <t>Porcentaje carpetas actualizadas</t>
  </si>
  <si>
    <r>
      <t xml:space="preserve">El archivo de gestión del Área de Adquisiciones e Inventarios de la Universidad del Cauca se encuentra actualizado, organizado y foliado respectivamente. 
El 17/01/2022 la OCI realizó una verificación aletoria a los legalos de los cuentadantes  activos e inactivos, los cuales reposan en el Archivo de Gestión del Área de Adquisiciones e Inventarios, encontrando conformidad en la organización y completitud de los registros documentales relativos a los ingresos, traslados y egresos de los bienes a cargo de los cuentadantes. 
La OCI asigna avance del 10%, pasando del 90 al 100%. 
</t>
    </r>
    <r>
      <rPr>
        <b/>
        <sz val="11"/>
        <color rgb="FF000000"/>
        <rFont val="Arial"/>
        <family val="2"/>
      </rPr>
      <t xml:space="preserve">
</t>
    </r>
    <r>
      <rPr>
        <sz val="11"/>
        <color rgb="FF000000"/>
        <rFont val="Arial"/>
        <family val="2"/>
      </rPr>
      <t xml:space="preserve">
</t>
    </r>
  </si>
  <si>
    <t xml:space="preserve">
Profesional Especializado  Área de Adquisiciones
</t>
  </si>
  <si>
    <t>Toma física de inventarios de bienes.
La Universidad del Cauca durante el 2013 y a la fecha de auditoría (septiembre de 2014) no ha realizado la toma física de inventarios de todos sus bienes muebles en servicio (en 2011 y 2012 se realizó en forma parcial), ni ha realizado la revisión de su vida útil. Además, en las visitas realizadas a las Facultades de Ingeniería Electrónica, Ingeniería Civil, CECAV, UNILINGUA se evidenció que la información registrada en el SRF de bienes devolutivos en servicio (A22) difiere en cuanto al nombre del funcionario responsable (Cuentadante) y el lugar de trabajo. La Entidad responde que efectuó revisión física de los bienes en servicio durante el 2013 y anexa formatos suscritos por 107 funcionarios, de los cuales 37 no tienen elementos asignados; lo anterior en respuesta a requerimientos enviados en el 2011 y 2012.   
Situaciones que no permiten tener información consistente ni confiable de la propiedad, planta y equipo, ni la aplicación del principio de contabilidad de revelación plena, que generan incertidumbres en los saldos revelados en los estados contables a diciembre de 2013 en las cuentas pertenecientes al grupo 16, principalmente de la Unidad 01 la 1660 por $7.952.732.646 y la 1665 por $1.955.582.395.</t>
  </si>
  <si>
    <t xml:space="preserve">Desconocimiento y aplicación de los procedimientos técnicos contables expedidos por la CGN, deficiencias en los mecanismos de control y seguimiento, ausencia de capacitación al personal del área de adquisiciones e inventarios y baja difusión de los procedimientos.
</t>
  </si>
  <si>
    <t>Establecer y aplicar controles efectivos a la  identificación y registro de los  bienes muebles institucionales.</t>
  </si>
  <si>
    <t xml:space="preserve">Realizar la toma física del inventario, mediante el proceso de marcación con tecnología vigente.
</t>
  </si>
  <si>
    <t>Proyecto de marcación implementado</t>
  </si>
  <si>
    <t>19.1. Activos con Tag blando
19. 2. Activos con Tag duro
19. 3. Activos Rotulados
19. 4. Controlados_Rotulados_firmado
19. 5. Controlados_TagBlando_firmado</t>
  </si>
  <si>
    <r>
      <t xml:space="preserve">"Mediante Oficio 5.4.5-92/3456 del 24/11/2022 el Área de adquisiciones e inventarios, envió el registro de los bienes marcados de acuerdo al proyecto planteado en el Plan de Desarrollo institucional, Bienes Activos identificados con: 
Tag RFID Blando: 3085
Tag RFID Duro: 6089
Activos Rotulados: 960
Con oficio 5.4.5-92.8/3735 del 19/12/2022, el Área de adquisiciones e inventarios remitió las evidencias de los bienes: 
Controlados rotulados: 627
Controlados Tag RFID blando: 2136
El total de bienes marcados fue: </t>
    </r>
    <r>
      <rPr>
        <b/>
        <sz val="11"/>
        <color rgb="FF000000"/>
        <rFont val="Arial"/>
        <family val="2"/>
      </rPr>
      <t xml:space="preserve">12.897
OCI: </t>
    </r>
    <r>
      <rPr>
        <sz val="11"/>
        <color rgb="FF000000"/>
        <rFont val="Arial"/>
        <family val="2"/>
      </rPr>
      <t>Se evidencia que el Área de Adquisiciones e inventarios realizó la marcación de acuerdo a lo programado en el proyecto del Plan de Desarrollo Institucuionsl, dando así cumplimiento a la actividad planteada, por lo que el avance pasa del 55% al 100%.</t>
    </r>
    <r>
      <rPr>
        <b/>
        <sz val="11"/>
        <color rgb="FF000000"/>
        <rFont val="Arial"/>
        <family val="2"/>
      </rPr>
      <t xml:space="preserve"> </t>
    </r>
  </si>
  <si>
    <t xml:space="preserve">Bienes de museo en custodia.
“Acta de Ingreso Provisional de Elementos No. 27”, suscrita el 30 de agosto de 2000, mediante la cual la Universidad del Cauca entregó de manera  provisional, los elementos de museo en custodia la Entidad identificada con NIT 891580000-0; oficio G-109 del 12-04-2000 del Banco de la República y Acta de entrega suscrita el 29-08-2000, Ley general de patrimonio cultural No.397 del 7-08-1997, Ley 1130 del 15-02-2007,  Ley 599 del 24-07-2000 y Acuerdo 043 de 2002.
Los bienes de la Universidad del Cauca revelados como joyas, entregadas en custodia provisional desde el año 2000, objeto de verificación fiscal en esta auditoría, se encuentran en dos cajas de madera (la caja 2 contiene diez sobres de manila), presentan inconsistencias entre los elementos descritos por la Entidad en su aplicativo SRF, con lo existente y los registros documentales de los inventarios de bienes históricos y culturales; situación que genera riesgos de pérdida, por las siguientes situaciones:
a) Los bienes entregados en custodia y relacionados por la Entidad en los documentos de entrega, no cuentan con registros fotográficos que permitan una identificación física para facilitar un adecuado control y verificación; con el agravante que la entrega de éstos no se encuentra respaldada en títulos de custodia. . </t>
  </si>
  <si>
    <t>Debilidades en los mecanismos de control y seguimiento a los bienes muebles y culturales, ineficiente gestión al no atender compromiso institucional para contar con bóveda en el Museo Mosquera para guardar estas piezas históricas, e inobservancia de las medidas legales para salvaguardar, valorar y difundir el patrimonio cultural de la Nación.</t>
  </si>
  <si>
    <t>Establecer y aplicar controles efectivos a la administración,  custodia, registro y seguimiento  de los  bienes históricos de  Arte y Cultura de  la Universidad.</t>
  </si>
  <si>
    <t xml:space="preserve">Construir un documento sobre el diagnóstico situacional y  requerimientos de apropiación, conservación y difusión por  la  Universidad  </t>
  </si>
  <si>
    <t>Documento diagnóstico</t>
  </si>
  <si>
    <t>El Profesional Especializado de la División de Gestión de Cultura, comunicó que el documento “Diagnostico para el traslado de la colección desde la Curía a la Universidad del Cauca”, presentado en el 2020 por la antropóloga y arqueóloga contratista María Eugenia Orejuela, contiene las consideraciones políticas y jurídicas en lo referente al patrimonio cultural de la nación, los protocolos y diagnóstico de la colección de metalurgia prehispánica e histórica que se encuentra guardada en la bóveda de la curia arzobispal, concluye la existencia de 212 piezas (11 piezas de colección histórica, 201 piezas de colección prehispánica) y define criterios para su traslado.
Adicionalmente aclaró que la curía tiene definido protocolos para ingreso a la bóveda por lo que la Universidad del Cauca debe acogerse.</t>
  </si>
  <si>
    <t xml:space="preserve">
Existe docuemento diagnostico</t>
  </si>
  <si>
    <t xml:space="preserve">
Profesional Especializado  División de la Gestión de la Cultura
</t>
  </si>
  <si>
    <r>
      <t>b) Estos elementos están contabilizados con valores poco representativos en comparación con el valor razonable de los bienes muebles de carácter histórico y cultural, toda vez que según los párrafos 191 y 195 contenido en el Marco Conceptual del Régimen de Contabilidad Pública, los bienes de arte y cultura “se reconocen por su costo histórico y no son susceptibles de actualización”.</t>
    </r>
    <r>
      <rPr>
        <b/>
        <sz val="11"/>
        <color theme="1"/>
        <rFont val="Arial"/>
        <family val="2"/>
      </rPr>
      <t xml:space="preserve"> </t>
    </r>
    <r>
      <rPr>
        <sz val="11"/>
        <color theme="1"/>
        <rFont val="Arial"/>
        <family val="2"/>
      </rPr>
      <t>Sin embargo en el Acta de entrega que hizo al Banco de la República en 1982 por parte de la Universidad, se relacionan “elementos sin precio”, no permite tener certeza si están registrados o no en la contabilidad.</t>
    </r>
  </si>
  <si>
    <t>Establecer mecanismos que conduzcan a la revelación contable de los  bienes de carácter históricos y Cultural en custodia de la Arquidòcesis de Popayán.</t>
  </si>
  <si>
    <t>Documentar, socializar y someter a aprobación de la Arquidiócesis de Popayán,   los protocolos de seguimiento de las piezas patrimoniales para  verificación de su existencia y valoración.</t>
  </si>
  <si>
    <t>Protocolos documentados y socializados</t>
  </si>
  <si>
    <t>Con comunicación 7.2-52.5/459 del 05/07/2023, la Vicerrectoría de Cultura y Bienestar, describe que durante este periodo es importante resaltar la visita a la bobeda de la Curia de Popayán. La cual se dio a partir de la solicitud ante el Arzobispo de la ciudad. Esta se carcaterizo por el tiempo tan corto el cual lo da la  Curia. En ese tiempo se observo las piezas en metales preciosos y sus estados. Se reviso el inventario que se tiene de acuerdo al acta de 1982 y se verifico que se encuentran. Se realizo registro fotografíco.
Con comunicación 7.2-52.5/896 del  7/11/2023, la Vicerrectoría de Cultura y Bienestar manifestó: "En este semestre no se ha efectuado ningun proceso actual con la arquidiosecis, ya que estamos sujetos a los tiempos relacionados de la Curia de Popayán"</t>
  </si>
  <si>
    <t>Se mantiene la conclusión del seguimiento anterior:
Revisado El procedimiento Actualización de los Registros e Inventarios de las Colecciones Museográficas - PA-GU-7.2- IN-1, versión 1 del 27-07-2021, publicado en el Banner Programa Lvmen, no se evidencia su actualización.</t>
  </si>
  <si>
    <t>d) Entre el Área de Adquisiciones e Inventarios y la Vicerrectoría Administrativa, no es consistente la información reportada sobre elementos perdidos, por cuanto revisados los documentos suministrados a la auditoría y los registros en los sistemas de información, se detectó que no hay conocimiento y revelación oportuna de los hechos en ambas Dependencias de todos los siniestros ocurridos. En el Área de Adquisiciones e Inventarios no se reportó: 1 Cámara de Video Sony por $16.659.920, 1 Equipo Móvil y 1 PC portátil (junio y julio de 2013) por $3.475.000 y daños de equipos eléctricos y electrónicos sin cuantía; mientras que en Vicerrectoría Administrativa se desconocía la pérdida de: 4 video proyectores, 2 PC Portátil DELL y 1 PC Portátil Toshiba, registrados por $15.993.963. 
e) Existiendo bienes devolutivos perdidos por $10.078.446 que a diciembre de 2013 no habían endilgado responsabilidad a los funcionarios que tenían a cargo los bienes y a octubre 17 de 2014  no han sido recuperados ni devueltos</t>
  </si>
  <si>
    <t>Establecer y aplicar controles efectivos para el registro y seguimiento  de los bienes que han sido objeto de pérdida, hurto o daño.</t>
  </si>
  <si>
    <t xml:space="preserve">2023-2: La OCI reviso el proyecto de ajuste del Procedimiento de PA-GA-5.4.1-PR-10 Pérdida o Hurto de Bienes y realizó una reunión con el Área de Adquisiciones e Inventarios y la División de Gestión Financiera el día 13/12/2023, en la que se asesoró y recomendó realizar ajustes respecto del alcance, normatividad, actividades y controles, además se sugirió realizar algunas consultas con el Centro de Gestión de la Calidad...
Por lo anterior, se asignó un avance del 5%, pasando al 65%, sujeto al ajuste, aprobación y publicación. 
De la revisión al proyecto del nuevo acuerdo que modifica el Acuerdo 043 del 2002, se concluye que éste tiene un avance del 80%, y en sesión del Comité de Sostenibilidad Contable del 15/12/2023, se dejó el compromiso de que la Oficina Jurídica y el Área de Adquisiciones se reúnan el 18/12/2023 para aclarar las observaciones de la Oficina Jurídica, y entregar el proyecto al Vicerrector Administrativo, quien se comprometió a hacer entrega de éste proyecto al Representante legal de la Institución, para que se programe la presentación al Consejo Superior para su aprobación. 
Al respecto, la OCI comunicó que incrementará el avance cuando se evidencie la radicación del proyecto del Acuerdo ante el Representante Legal. 
Así, computados los porcentajes del procedimiento y la norma, el avance de la actividad pasa al 72%, sujeto al ajuste, aprobación y publicación del procedimiento y el Acuerdo. </t>
  </si>
  <si>
    <t xml:space="preserve">
Bienes de museo en custodia.
“Acta de Ingreso Provisional de Elementos No. 27”, suscrita el 30 de agosto de 2000, mediante la cual la Universidad del Cauca entregó de manera  provisional, los elementos de museo en custodia la Entidad identificada con NIT 891580000-0; oficio G-109 del 12-04-2000 del Banco de la República y Acta de entrega suscrita el 29-08-2000, Ley general de patrimonio cultural No.397 del 7-08-1997, Ley 1130 del 15-02-2007,  Ley 599 del 24-07-2000 y Acuerdo 043 de 2002.
Los bienes de la Universidad del Cauca revelados como joyas, entregadas en custodia provisional desde el año 2000, objeto de verificación fiscal en esta auditoría, se encuentran en dos cajas de madera (la caja 2 contiene diez sobres de manila), presentan inconsistencias entre los elementos descritos por la Entidad en su aplicativo SRF, con lo existente y los registros documentales de los inventarios de bienes históricos y culturales; situación que genera riesgos de pérdida, por las siguientes situaciones:
a) Los bienes entregados en custodia y relacionados por la Entidad en los documentos de entrega, no cuentan con registros fotográficos que permitan una identificación física para facilitar un adecuado control y verificación; con el agravante que la entrega de éstos no se encuentra respaldada en títulos de custodia. . </t>
  </si>
  <si>
    <t>Realizar un inventario físico  y registro fotográfico de los bienes históricos de arte y cultura  en custodia  y ajustar  la   información con los documentos que respaldan su existencia.</t>
  </si>
  <si>
    <t xml:space="preserve"> Inventario actualizado de bienes históricos en custodia.</t>
  </si>
  <si>
    <t>Corte diciembre de 2023 
En oficio 7.2-52.5/896 del  7/11/2023, la Vicerrectoría de Cultura y Bienestar remite:
Archivo en PDF denominado "EVIDENCIAS LISTADO BASE EXCEL DGC Y COLECCIONES COLOMBIANAS" que contiene pantallazos del inventario con la descripción de la numismatica y del Registro en el Software de Colecciones Colombianas.
Arhivo en Excel "Plantilla_activos BIENES HISTORICOS DGC- PARA SRF", que describe 1120 bienes.</t>
  </si>
  <si>
    <t>Se continua con el registro de Bienes Históricos en el Software de Colecciónes Colombianas, actividad que presenta complejidad para identificar, documentar y visibilizar, de manera ágil, los bienes históricos.</t>
  </si>
  <si>
    <r>
      <t>b) Estos elementos están contabilizados con valores poco representativos en comparación con el valor razonable de los bienes muebles de carácter histórico y cultural, toda vez que según los párrafos 191 y 195 contenido en el Marco Conceptual del Régimen de Contabilidad Pública, los bienes de arte y cultura “se reconocen por su costo histórico y no son susceptibles de actualización”.</t>
    </r>
    <r>
      <rPr>
        <b/>
        <sz val="11"/>
        <color theme="1"/>
        <rFont val="Arial"/>
        <family val="2"/>
      </rPr>
      <t xml:space="preserve"> </t>
    </r>
    <r>
      <rPr>
        <sz val="11"/>
        <color theme="1"/>
        <rFont val="Arial"/>
        <family val="2"/>
      </rPr>
      <t xml:space="preserve">Sin embargo en el Acta de entrega que hizo al Banco de la República en 1982 por parte de la Universidad, se relacionan “elementos sin precio”, no permite tener certeza si están registrados o no en la contabilidad.
</t>
    </r>
  </si>
  <si>
    <t>Realizar el avalúo de los bienes históricos de arte y cultura en custodia y actualizar técnicamente  su información contable.</t>
  </si>
  <si>
    <t xml:space="preserve">Documento de avalúo </t>
  </si>
  <si>
    <t>Acta de reunión 7.2-1.56/08 del 30/03/2023 con participación del Director del Museo Nacional, aborda aspectos para el registro y clasificación y avaluos de los Bienes de cultura
Con comunicación 7.2-52.5/896 del  7/11/2023, la Vicerrectoría de Cultura y Bienestar remitió la matriz en Excel de reporte de evidencias en la que indica que según la asesoría de la Contaduria General de la Nación y con la Ley 0395 del 2006 será posible identificar cúales son las piezas patrimoniales de interes cultural y cúales solo son piezas culturales.</t>
  </si>
  <si>
    <t>Las gestiones realizadas se orientan a las asesorías realizadas con algunos entes externos, ya que el proceso de avaluo solo se podrá llevar a cabo cuando los inventarios esten debidamente organizados.</t>
  </si>
  <si>
    <t>Puntaje Total</t>
  </si>
  <si>
    <t>SEGUIMIENTO PLAN DE MEJORAMIENTO - CONTRALORÍA GENERAL DE LA REPÚBLICA AUDITORÍA VIGENCIA 2020</t>
  </si>
  <si>
    <t>Auditoría Externa vigencia 2020</t>
  </si>
  <si>
    <t>Cuentas por Cobrar por Estampillas (A).
Revisada la cuenta por cobrar por estampilla, se observa que la entidad realiza el reconocimiento del recaudo del concepto estampilla “Universidad del Cauca 180 Años” en la cuenta contable 131113 Estampillas, de manera trimestral, incumpliendo con lo estipulado en el artículo 108 del Acuerdo Superior 012 de 2012, toda vez que existe la obligatoriedad de realizar el reconocimiento de manera mensual.</t>
  </si>
  <si>
    <t>Deficiencias en el sistema de control interno contable, consistente en el control del recaudo de los recursos provenientes de la estampilla 180 Universidad del Cauca.</t>
  </si>
  <si>
    <t xml:space="preserve">Establecer controles al Sistema de Control Interno, en las etapas de causación, registro y conciliación del recaudo de estampilla "Universidad del Cauca 180 años". </t>
  </si>
  <si>
    <t xml:space="preserve">Conciliar  mensualmente la información reportada por el ente recaudador de los recursos de estampilla con los registros de facturación de la Universidad. </t>
  </si>
  <si>
    <t>Registro de conciliación mensual formalizado e implementado.</t>
  </si>
  <si>
    <t xml:space="preserve">La División de Gestión Financiera con oficio 5.2-52.2/0067 del 09/06/2022 remitió: 
Reporte en excel de conciliación mensual Estampillas, entre el reporte de RFAE del sistema Squid y extractos de la cuenta del Banco de Bogotá 520371014 TGD Estampilla Universidad del Cauca 180 años,  de noviembre 2021 a abril 2022.
OCI:
Se evidencia el cumplimiento de la acción de mejora, por lo que el avance pasa del 75% al 100%. </t>
  </si>
  <si>
    <t xml:space="preserve">
Profesional Especializado División Gestión Financiera
Profesional Especializado Tesorería
Profesional Especializado Contabilidad</t>
  </si>
  <si>
    <t xml:space="preserve">Causar la cuenta por cobrar con periodicidad mensual por concepto del recaudo de estampilla "Universidad del Cauca 180 años". </t>
  </si>
  <si>
    <t>Nota de contabilidad mensual.</t>
  </si>
  <si>
    <t xml:space="preserve">Notas contables: 
01-D917-202100215 13-12-2021 (Noviembre)  
01-D917-202100234 31-12-2021 (Diciembre)
01-D917-202200008 31-01-2022 (Enero) 
01-D917-202200049 08-04-2022 (Febrero)
01-D917-202200052 20-04-2022 (Marzo)
01-D917-202200086 31-05-2022 (Abril)
01-D917-202200087 31-05-2022 (Mayo) </t>
  </si>
  <si>
    <t xml:space="preserve">División de Gestión Financiera con oficio 5.2-52.2/0067 del 09/06/2022 remitió las Notas contables de causación de noviembre del 2021 a mayo de 2022, así: 
01-D917-202100215 13-12-2021 (Noviembre)  
01-D917-202100234 31-12-2021 (Diciembre)
01-D917-202200008 31-01-2022 (Enero) 
01-D917-202200049 08-04-2022 (Febrero)
01-D917-202200052 20-04-2022 (Marzo)
01-D917-202200086 31-05-2022 (Abril)
01-D917-202200087 31-05-2022 (Mayo) 
OCI: 
Las Notas Contables evidencian el cumplimiento de la acción de mejora, conforme la unidad de medida, por lo que el avance pasa del 58% al 100%. </t>
  </si>
  <si>
    <t>Profesional Especializado División Gestión Financiera
Profesional Especializado Tesorería
Profesional Especializado Contabilidad</t>
  </si>
  <si>
    <t>Cuentas por Cobrar por Servicios Educativos (A-D).
Verificado el libro auxiliar cuenta contable 131701 Servicios Educativos, se identificaron 636 registros con saldos superiores a 365 días por $509.548.583, para los cuales no se realizó el respectivo cálculo del deterioro, el cual se debió estimar y reconocer en cuantía de $356.684.008, equivalente al 70% del saldo en libros, por tratarse de deudas superiores a más de doce meses de mora. Mediante comunicaciones 5.2-52.5/060 y 5.2-52.5/064 del 26 y 29 de marzo de 2021, respectivamente, la Administración universitaria informa que dentro de los planes de mejoramiento suscritos por la Universidad del Cauca, se encuentra el estudio del mecanismo para el cálculo adecuado del deterioro, para lo cual se ha solicitado la contratación de un experto con el fin de adelantar el análisis, revisión, creación o modificación de las políticas contables y la implementación de las guías o instructivos necesarios para determinar el valor del deterioro.</t>
  </si>
  <si>
    <t>La Universidad del Cauca tiene definidos criterios para la determinación del valor del deterioro de las cuentas por cobrar, de acuerdo con lo estipulado en el artículo 22 del Acuerdo Superior 052 de 2009. El hecho es consecuencia de la inobservancia de los reglamentos establecidos por el ente universitario, situación que genera como consecuencia una sobrestimación de la cuenta 131701 Servicios Educativos por $356.684.008, cuya contrapartida es la cuenta 5370 Deterioro de Cuentas por Cobrar. Hallazgo con presunta incidencia disciplinaria.</t>
  </si>
  <si>
    <t xml:space="preserve">Aplicar los lineamientos de las políticas contables al cálculo de deterioro a la subcuenta 131701 - Servicios Educativos, del grupo 13 Cuentas por cobrar. </t>
  </si>
  <si>
    <t xml:space="preserve">Documentar herramienta para el cálculo de deterioro de la  subcuenta 131701 - Servicios Educativos, del grupo 13 Cuentas por cobrar, conforme a los lineamientos de las políticas contables.  </t>
  </si>
  <si>
    <t>Herramienta documentada</t>
  </si>
  <si>
    <t xml:space="preserve">*PA-GA-5.4.5-IN-2 Instructivo para cálculo de Deterioro de Activos no Generadores de Efectivo V1.pdf
*PA-GA-5-IN-5 Instructivo para cálculo de Deterioro de Valor de Cuentas por Cobrar V1.
*Acuerdo Superior 084 de 2021 Actualiza y/o se establecen las Políticas Contables de la Universidad del Cauca y se deroga el Acuerdo 012 de 2018
</t>
  </si>
  <si>
    <t xml:space="preserve">La División de Gestión Financiera con oficio 5.2-52.2/0067 del 09/06/2022, remitió los link que evidencian la publicación de las siguientes herramientas documentadas: 
*PA-GA-5.4.5-IN-2 Instructivo para cálculo de Deterioro de Activos no Generadores de Efectivo V1.pdf
*PA-GA-5-IN-5 Instructivo para cálculo de Deterioro de Valor de Cuentas por Cobrar V1.
*Acuerdo Superior 084 de 2021 Actualiza y/o se establecen las Políticas Contables de la Universidad del Cauca y se deroga el Acuerdo 012 de 2018
Observación OCI: 
Se verificó que las herramientas elaboradas para el cálculo del deterioro de activos no gereradores de efectivo y del valor de cuentas por cobrar, se formalizaron y publicaron en la página Web Institucional- Programa LVMEN, y el  Acuerdo Superior 084 de políticas contables, en la página web Institucional- Documentos Públicos, Acuerdos. 
Por lo anterior, el avance pasa del 80% al 100%. </t>
  </si>
  <si>
    <t>Vicerrector(a) Administrativo (a) 
Profesional Especializado División Gestión Financiera
Profesional Especializado Contabilidad</t>
  </si>
  <si>
    <t xml:space="preserve">Implementar herramienta para el cálculo de deterioro de la  subcuenta 131701 - Servicios Educativos, del grupo 13 Cuentas por cobrar, conforme a los lineamientos de las políticas contables.  </t>
  </si>
  <si>
    <t xml:space="preserve">La División de Gestión Financiera con oficio 5.2-52.2/0174 del 30/06/2023 envió: 
-Oficio 5-84-0283 Remisión evidencias Grupo cartera
-Documento PDF que contiene los cálculos de reversión del deterioro de estudiantes de pregrado de estrato 1 (cuyo % anterior era inconsistente), y sus debidas notas contables. 
-Documento PDF que contiene los cálculos de reversión del deterioro de proyectos y sus notas contables.
-Notas de contabilidad reversión de deterioro por Recuperación de cartera.
-Documento PDF que indica el porcentaje y valor a deteriorar, para cuentas al 2021, y sus notas contables. 
-Documento PDF que indica el porcentaje y valor a deteriorar y nota de contabilidad deterioro 2021 Posgrado
--Documento PDF que indica el porcentaje y valor a deteriorar y nota de contabilidad deterioro 2021 Pregrado
--Documento PDF que indica el porcentaje y valor a deteriorar y nota de contabilidad deterioro 2021 Proyectos </t>
  </si>
  <si>
    <t xml:space="preserve">
2023: Se evidencia la reversión del deterioro de cuentas estudiantes de pregrado estrato 1, cuyos porcentajes aplicados en el cálculo realizado en la vigencia 2022 eran incorrectos, por lo que el porcentaje disminuyó, del 9.32% al 6.36%, además, se observa la aplicación del deterioro de las cuentas por cobrar a estudiantes de pregrado, posgrado y proyectos, con sus notas de contabilidad de ajuste. 
Con la verificación de la aplicación de las herramientas elaboradas para el cálculo del deterioro, se otorga un 100% de avance. Sin embargo, se evaluará la efectividad de la mejora en seguimientos posteriores. </t>
  </si>
  <si>
    <t>Cuentas por Cobrar Servicios Educativos con Saldos Negativos (A).
Verificado el libro auxiliar de la cuenta contable 131701 Servicios Educativos, se identificaron registros de terceros con saldos negativos por $220.845.389, generados por errores relacionados con re-expresión de saldos en transición al nuevo marco normativo y/o entre terceros y, errores en el flujo de información entre el sistema de facturación y recaudo SQUID y el sistema de información contable y financiero FINANZAS PLUS</t>
  </si>
  <si>
    <t xml:space="preserve"> Por deficiencias en el control interno contable, consistente en la verificación de saldos, situación que genera inconsistencias en el detalle de la información contable</t>
  </si>
  <si>
    <t xml:space="preserve">Establecer controles al Sistema de Control Interno, en cuanto al reconocimiento e identificación de la subcuenta 131701-Servicios Educativos y la subcuenta 138490 - Otras cuentas por cobrar, del grupo 13 Cuentas por cobrar.   </t>
  </si>
  <si>
    <t xml:space="preserve">Ajustar los saldos de la subcuenta 131701-Servicios Educativos y la subcuenta 138490 - Otras cuentas por cobrar, del grupo 13 Cuentas por cobrar. </t>
  </si>
  <si>
    <t>Nota contabilidad</t>
  </si>
  <si>
    <t xml:space="preserve">
La División de Gestión Financiera con oficio 5.2-52.2/0174 del 30/06/2023 relacionó 606 notas contables del ajuste, informando que el valor total es de $216.004.891,54, y que corresponden a 1042 terceros, se verificaron algunas notas contables, así: 
D901- 202100001, D924- 202100257, D924- 202100075, D924- 202200018, D924- 202200478, D924- 202200502, D924- 202300218, D924- 202300334, D900- 202300069</t>
  </si>
  <si>
    <t xml:space="preserve">2023: En la revisión aleatoria a una muestra de notas de ajuste contable, se observaron los ajustes de los saldos de las cuentas 131701 y 138490. 
Se da cumplimiento a la actividad en un 100%. </t>
  </si>
  <si>
    <t xml:space="preserve">
Profesional Especializado División de Gestión Financiera
Profesional Especializado Contabilidad
</t>
  </si>
  <si>
    <t>Cuentas por Cobrar Inexistentes y/o sin Amortizar (A).
Verificado el libro auxiliar cuenta contable 131701 Servicios Educativos, se identificaron saldos, los cuales, de acuerdo con las comunicaciones 5.2-52.5/060 y 5.2-52.5/064 del 26 y 29 de marzo de 2021, la Administración informa que se trata de valores cancelados y/o reportados para su anulación, por presentarse inconsistencia relacionadas con la necesidad de depuración y/o anulación del registro</t>
  </si>
  <si>
    <t>Por deficiencias en el control interno contable, consistente en la verificación de saldos al momento de emitir estados financieros, situación que genera sobrestimación en la cuenta contable 131701 Servicios Educativos por $135.635.221, cuya contrapartida es la cuenta 4305 Servicios Educativos.</t>
  </si>
  <si>
    <t xml:space="preserve">Establecer controles al Sistema de Control Interno, en cuanto al reconocimiento e identificación de la subcuenta 131701-Servicios Educativos, del grupo 13 Cuentas por cobrar.   </t>
  </si>
  <si>
    <t>Generar el reporte de facturas anuladas con financiación sin abono</t>
  </si>
  <si>
    <t xml:space="preserve">Reporte generado </t>
  </si>
  <si>
    <t>Hallazgo 4 2020. ANULADAS CON CORTE 25 DE JUNIO DE 2021</t>
  </si>
  <si>
    <t>En el seguimiento realizado el 28/11/2022, como consta en acta 2.6-1.60/19,  se evidenció que ya se identificó la totalidad de facturas anuladas con financiación sin abono, por lo que el avance pasó del 80% al 100%.</t>
  </si>
  <si>
    <t xml:space="preserve">Vicerrector(a) Administrativo (a) </t>
  </si>
  <si>
    <t xml:space="preserve">Ajustar los saldos de la subcuenta 131701-Servicios Educativos, del grupo 13 Cuentas por cobrar. </t>
  </si>
  <si>
    <t>Notas de contabilidad: D901-202100044, 
D901-202100014, D901-202100017, D901-202100045</t>
  </si>
  <si>
    <t>Con oficio 5.2-52.5/697 del 21/12/2022, la División de Gestión Financiera remitió las notas de contabilidad del ajuste de los saldos de la subcuenta 131701, las Notas de contabilidad soportan el valor del hallazgo por $135.635.221, las cuales se pueden consultar por la forma CMDC en el Sistema Financiero Finanzas, se adjuntan como muestra de evidencia cuatro notas adjuntas:
D901-202100014; D901-202100017; D901-202100043; D901-202100044; D901-202100045; D921-202100030; D901-202100046; D901-202100047; D901-202100048; D901-202100049; D901-202100050; D901-202100052; D901-202100053; D901-202100054; D901-202100056; D901-202100064; D924-202200449.
El avance pasa del 80% al 100%.</t>
  </si>
  <si>
    <t xml:space="preserve">Profesional Especializado División de Gestión Financiera
Profesional Especializado Contabilidad </t>
  </si>
  <si>
    <t xml:space="preserve">Otras Cuentas por Cobrar con Saldos Negativos (A)
Verificado el libro auxiliar cuenta contable 138490 Otras Cuentas por Cobrar, se identificaron saldos negativos con cargo a terceros, por $32.614.879. </t>
  </si>
  <si>
    <t>Por deficiencias en el control interno contable, consistente en la verificación de saldos, situación que genera inconsistencias en el detalle de los registros que soportan los estados financieros.</t>
  </si>
  <si>
    <t xml:space="preserve">Establecer controles al Sistema de Control Interno, en cuanto al reconocimiento e identificación la subcuenta 138490 - Otras cuentas por cobrar, del grupo 13 Cuentas por cobrar.   </t>
  </si>
  <si>
    <t>Generar el reporte de facturas con intereses causados</t>
  </si>
  <si>
    <t>Hallazgo 5 2020. REPORTE INTERESES CAUSADOS CORTE A 30 JUNIO 2021</t>
  </si>
  <si>
    <t>En el seguimiento realizado el 23/11/2022, como consta en acta 2.6-1.60/19,  se evidenció que ya se identificó la totalidad de facturas con intereses causados, por lo que el avance pasó del 80% al 100%.</t>
  </si>
  <si>
    <t xml:space="preserve">Ajustar los saldos de la subcuenta 138490 - Otras cuentas por cobrar, del grupo 13 Cuentas por cobrar. </t>
  </si>
  <si>
    <t>La División de Gestión Financiera con oficio 5.2-52.2/0174 del 30/06/2023 relacionó 191 notas contables de ajuste, por valor total de $32.614.879,79, que corresponden a 712 terceros, se verificaron algunas notas contables, así: 
D901-201900244, D918-201900133, D918-202200374, D924-202200077, D924-202200479, D924-202300068, D924-202300142, D924-202300156, D924-202300290, D924-202300355</t>
  </si>
  <si>
    <t xml:space="preserve">2023: Verificada la muestra de notas contables, de manera aleatoria, se evidenció el ajuste a los saldos negativos mencionados en el hallazgo, por lo que se da un cumplimiento del 100% a la actividad. 
Sin embargo, el hallazgo será objeto de seguimiento para la valoración de efectividad. </t>
  </si>
  <si>
    <t xml:space="preserve">Profesional Especializado División Gestión  Financiera 
Profesional Especializado Contabilidad
</t>
  </si>
  <si>
    <t>Otras Cuentas por Cobrar por Enajenación de Activos (A).
En los estados financieros con corte a 31 /12/2020, cuenta contable 138416 Enajenación de Activos, se reveló un saldo de $624.500.000; verificado el libro auxiliar, se evidenció que dicho valor corresponde a la re-expresión de saldos al nuevo marco normativo con fecha de registro 31/12/2017. En oficio 5.2-52.5-07 del 14 /04/2021, la entidad informa que el registro corresponde al saldo que la Unidad 01 Gestión General adeuda a la Unidad 02 Unisalud, por la cesión funcional interna del lote de terreno donde se construyó la Facultad de Humanas (Calle 5 N°4-07 y Cra. 4 N°5-24 Popayán), antes de la aplicación de las Normas Internacionales de Contabilidad para el Sector Público (NICSP), transacción realizada por $1.249.000.000, con abonos del 50% y el saldo registrado como cuenta por cobrar. La transacción fue realizada con Resolución R1070 del 21/12/2015 en la cual, en el numeral 4 del considerando, señala los siguientes compromisos: “En su item 1, la Unidad 01 se compromete a transferir a la Unisalud Unidad 02, la suma de $624.500.000, en el mes de 09/2015 e igual suma el 15/09/2016, para un total de $1.249.000.000, como pago del lote que será utilizado para la construcción del Edificio de la Facultad de Ciencias Humanas y Sociales.” A la fecha, la Universidad del Cauca no ha cumplido con el compromiso estipulado para el 15/09/2016, revelando en los estados financieros una cuenta por cobrar con más de cuatro años de morosidad.</t>
  </si>
  <si>
    <t>Por incumplimiento de los compromisos suscritos por la Administración de la entidad universitaria, situación que genera el reconocimiento de saldos con morosidad en los estados financieros de la entidad.</t>
  </si>
  <si>
    <t>Adelantar mecanismos tendientes a establecer los valores reales que debe cancelarse a la Unidad de Salud por parte de la Unidad 1 - Gestión General de la Universidad del Cauca</t>
  </si>
  <si>
    <t>Determinar los conceptos y valores  asumidos por la Unidad 1 respecto del funcionamiento de la Unidad de Salud.</t>
  </si>
  <si>
    <t>Reporte de gastos asumidos por la Unidad 1 de la Unidad 2 en servicios de servicios de seguridad, servicio de aseo, mantenimiento de instalaciones físicas y representación judicial, entre otros.</t>
  </si>
  <si>
    <t>Con oficio 5.2-52.5/667 del 07/12/2022, la División de Gestión Financiera remitió oficio solicitando el replanteamiento de la actividad, sin embargo, en la reunión de seguimiento realizada el 23/11/2022, la OCI recalcó que la actividad no puede ser reformulada porque se encuentra en incumplimiento, y además, se debía informar a la Dirección o a la Vicerrectoría Administrativa. 
Por lo anterior, y debido a que no se presentó evidencias de la actividda, no se asigna avance y continúa en 0%. 
Los miembros del comite tecnico de sostenibilidad contable en el acta 5.2-1.84/001 del dia 22 de diciembre del 2022 informa que la obligacion existente con la unidad 2, de salud, con el bien inmueble adquirido por la unidad 1 no es objeto de amortizacion con otros gastos, pues los mismos hacen parte de otro tipo de acuerdos, por lo cual la actividad se encuentra en un 100% considerando el analisis realizado por la Division de Gestion Financiera.</t>
  </si>
  <si>
    <t xml:space="preserve">
Profesional Especializado División Gestión Financiera
Profesional Especializado Contabilidad
Profesional Especializado Tesorería
Profesional Especializado Presupuesto</t>
  </si>
  <si>
    <t>Elaborar informe de gastos</t>
  </si>
  <si>
    <t>Informe de gastos</t>
  </si>
  <si>
    <t>Formalizar los términos de amortización de lo adeudado por la Unidad 1 a la Unidad 2 (si lo hubiera)</t>
  </si>
  <si>
    <t>Registro de formalización</t>
  </si>
  <si>
    <t>Se realizó sesión del Comité de Sostenibilidad Contable el día 15/12/2023, como consta en acta 5.2-1.84/003 de la misma fecha, punto 4.
 Mediante correo electrónico del 19/01/2024, la Vicerrectoría Administrativa remitió el acta 10.1-1.71/15 del 2/11/2023 de sesión del consejo de salud.
La División de Gestión Financiera mediante correo electrónico del 19/01/2024 remitió: 
1. Oficio 5.3-92.8-767 del 27-Nov-2023 Software Unisalud
2. Soportes amortización deuda Lote Unisalud_FCHS</t>
  </si>
  <si>
    <t xml:space="preserve">II semestre 2023: En el acta de sesión del consejo de salud del 2/11/2023 se evidencian los siguientes acuerdos: 
1. Indexar la deuda de la Unidad 1 con la Unidad 2 en aproximadamente $902.000.000 
2. Realizar los tramites pertinentes para abonar $300.000.000 a la deuda.
3. Hacer el avalúo del lote frente a la Facultad de Educación, verificar legalmente que la Unidad puede recibirlo como parte de pago, y de ser posible, si el valor es menor que el excedente pendiente, cubrir el saldo en efectivo.
De los acuerdos mencionados, se verifica el cumplimiento de la indexación de la deuda por valor de $902.000.000, y la amortización de la deuda por un valor de $101.895.000
Así, se otorga un avance del 33% por los acuerdos mencionados, y el porcentaje restante se sujeta a la amortización total de la deuda. </t>
  </si>
  <si>
    <t xml:space="preserve">
Rector</t>
  </si>
  <si>
    <t>Otras Cuentas por Cobrar (A).
En los estados financieros con corte a 31 de diciembre de 2020, cuenta contable 138490 Otras Cuentas por Cobrar, se reveló un saldo de $203.750.686; verificado el libro auxiliar, se evidenciaron saldos registros con errores en la cuenta contable y/o con ausencia de amortización de pagos, los cuales tienen efecto en los saldos revelados en los estados financieros (Ver tabla N°17)</t>
  </si>
  <si>
    <t xml:space="preserve"> Por deficiencias en el control interno contable, consistente en la verificación de saldos al momento de emitir los estados financieros e inexistencia de gestiones tendientes a la recuperación de los recursos por parte de la Administración universitaria, situación que genera sobreestimación en la cuenta 138490 Otras Cuentas por Cobrar por $89.941.142, cuya contrapartida es la cuenta 4305 Servicios Educativos</t>
  </si>
  <si>
    <t xml:space="preserve">Establecer controles al Sistema de Control Interno contable, en cuanto al registro de la subcuenta 138490 Otras Cuentas por Cobrar. 
   </t>
  </si>
  <si>
    <t xml:space="preserve">Identificar y ubicar los deudores. </t>
  </si>
  <si>
    <t xml:space="preserve">Relación de deudores identificados </t>
  </si>
  <si>
    <t>Hallazgo 7. Notas de contabilidad</t>
  </si>
  <si>
    <t xml:space="preserve">Con Oficio 5-84/ 0895 del 12/12/2022, el grupo de crédito y cartera informó que el hallazgo corresponde a errores en algunos registros de la subcuenta "otras cuentas por cobrar", por lo que se realizaron los ajustes correspondientes y se remitio las notas de contabilidad que los evidencian 
Se se realizó una verificación aleatoria a las notas de contabilidad: D900-202100021, D901-202100037, D918-202100156, D918-202100217-01, evidenciando el ajuste a los saldos, por lo que el avance pasó del 80% al 100%. </t>
  </si>
  <si>
    <t>Vicerrector (a) Administrativo (a)</t>
  </si>
  <si>
    <t>Establecer controles al Sistema de Control Interno contable, en cuanto al registro de la subcuenta 138490 Otras Cuentas por Cobrar.</t>
  </si>
  <si>
    <t xml:space="preserve">Realizar las gestiones administrativas tendientes a la recuperación de cartera. </t>
  </si>
  <si>
    <t xml:space="preserve">Registros de gestiones de recuperación de cartera. </t>
  </si>
  <si>
    <t xml:space="preserve">La División de Gestión Financiera con oficio 5.2-52.2/007 del 17/11/2023 remitió las siguientes evidencias: 
1. Evidencia recuperación de cartera: solicitudes a Tesorería de traslados bancarios, notas bancarias de los traslados entre las cuentas de la Unidad 1 y la Unidad 3, registro de las transferencias de las cuentas bancarias de la Unidad 1 y 3, y  notas contables de ajuste. </t>
  </si>
  <si>
    <t xml:space="preserve">II semestre 2023: En la revisión de los oficios, notas bancarias y registro de transferencias, se observaron los traslados del saldo pendiente por valor de $4.328.890, sin embargo, se encuentran errores en el concepto de las notas bancarias relacionadas con las transferencias que menciona el oficio 523 de septiembre, ya que el oficio indica el traslado de recursos de la Unidad 3 a la Unidad 1, pero el concepto da a entender lo contrario. 
En visita realizada el día 11/12/2023 a la División de Gestión Financiera, se determinó que el concepto de las notas bancarias se encuentra con error, ya que la transferencia la realizó la Unidad 3 a la Unidad 1, como lo indican el oficio y el registro de transacción. Por ello, la OCI informó que realizará seguimiento en el Primer semestre del 2024 para verificar la mejora de los controles en la revisión de éstos documentos. 
El 5% de avance restante se sujeta a la verificación de la mejora en los controles a la revisión de las notras bancarias. </t>
  </si>
  <si>
    <t>Profesional Especializado División Gestión Financiera
Profesional Especializado Contabilidad</t>
  </si>
  <si>
    <t>Aplicar el cálculo de deterioro con los terceros que generen indicios de deterioro.</t>
  </si>
  <si>
    <t>Nota de contabilidad con los terceros que generen indicios de deterioro</t>
  </si>
  <si>
    <t xml:space="preserve">
2023: Se evidencian las notas de contabilidad de la aplicación del deterioro de cuentas por cobrar estudiantes de pregrado, posgrado y proyectos, por lo que la actividad alcanza un cumplimiento del 100%.</t>
  </si>
  <si>
    <t>Reuniones del Comité Técnico de Sostenibilidad Contable (A, D).
Solicitadas las actas y documentos del Comité Técnico de Sostenibilidad Contable, se evidenció que durante la vigencia 2020 no se adelantaron reuniones del Comité Técnico de Sostenibilidad del Sistema Contable de la Universidad del Cauca</t>
  </si>
  <si>
    <t>Por inobservancia de lo estipulado en los reglamentos internos del ente universitario, situación que incide en el ambiente de control interno de la entidad.</t>
  </si>
  <si>
    <t xml:space="preserve">Establecer controles al mejoramiento del Sistema de Control Interno Contable, a partir del rol asesor del Comité Técnico de Sostenibilidad Contable. </t>
  </si>
  <si>
    <t xml:space="preserve">Convocar y realizar las reuniones programadas por el Comité Técnico de Sostenibilidad Contable, para el mejoramiento continuo de los procesos administrativos y la consolidación de la información económica y financiera. </t>
  </si>
  <si>
    <t xml:space="preserve"> Oficios 5.2-1.84/002 del 16/07/2021 y 5.2-52.5/156 y 163 del 21/07/2021 y actas de reunión: 5.2-1.84/02 y 03 del 18/08/2021 y 20/08/2021</t>
  </si>
  <si>
    <t>La División de Gestión Financiera con oficio 5.2-52.2/042 del 26/11/2021 y la Vicerrectoría Administrativa con oficio 5-71.7/0991 del 26/11/2021 remiten los oficios de convocatoria (5.2-1.84/002 del 16/07/2021 y 5.2-52.5/156 y 163 del 21/07/2021) y actas de reunión (5.2-1.84/02 y 03 del 18/08/2021 y 20/08/2021)que evidencian las sesiones del Comité Técnico de Sostenibilidad Contable.
La OCI valida la evidencia reportada y otorga un avance del 100%</t>
  </si>
  <si>
    <t>Vicerrector (a) Administrativo (a)
Profesional Especializado División Gestión Financiera
Profesional especializado Contabilidad</t>
  </si>
  <si>
    <t>Ingresos por Matrículas (A).
Realizada la revisión de la ejecución presupuestal de ingresos mediante la muestra de matrículas financieras a través de los recursos en línea "Recibo de Matrícula" y "SIMCA" de la página web de la Universidad, con respecto a los conceptos: derechos de matrícula, derechos de grado, repeticiones, descuento por voto y descuento por beca. Ver tablas 18, 19 y 20 del informe CGR</t>
  </si>
  <si>
    <t>Por deficiencias de control presupuestal y debilidades en la coordinación y conciliación de la información de las vigencias 2019 y 2020 entre los aplicativos que intervienen en la liquidación y registro de la matrícula financiera, al no realizar los ajustes presupuestales respectivos, por tratarse de ingresos correspondientes a la vigencia anterior, generando incertidumbre en cuanto al valor real de ingresos ejecutados por los conceptos de matrícula durante la vigencia 2020.</t>
  </si>
  <si>
    <t>Armonizar la gestión de los procesos involucrados en el proceso de recaudos por concepto de matrículas</t>
  </si>
  <si>
    <t>Conformar un equipo técnico interdisciplinario para orientar las soluciones a las dificultades del proceso de cobro financiero del recaudo de matrículas de vigencias anteriores.</t>
  </si>
  <si>
    <t>Registros de la formalización</t>
  </si>
  <si>
    <t>Acta  No. 5.2-1.84/ 001 del 22/12/2022.</t>
  </si>
  <si>
    <t>Teniendo en cuenta que la Resolución R-847 de 2011, permite al Comité Técnico de Sostenibilidad Contable  asesorar, recomendar la adopción de directrices, procedimientos y políticas, en temas administrativos, económicos y financieros; se determino que este Comité es el responsable de orientar las soluciones a las dificultades del proceso de cobro financiero del recaudo de matrículas de vigencias anteriores. 
En sesión del 22/12/2022 (Acta 5.2-1.84/001) el Comité abordó los temas relacionados con el hallazgo y da instrucciones al respecto.</t>
  </si>
  <si>
    <t>Vicerrector(a) Académico (a)
Profesional División de Admisiones, Registro y Control Académico
Profesional Especializado División Financiera
Jefe Oficina de Planeación y Desarrollo Institucional</t>
  </si>
  <si>
    <t>Registros de la operatividad del equipo</t>
  </si>
  <si>
    <t xml:space="preserve">En el acta No. 5.2-1.84/ 001 del 22/12/2022, se evidencian las decisiones del Comité Técnico de Sostenibilidad Contable respecto del hallazgo, determinando la operatividad del equipo. </t>
  </si>
  <si>
    <t>Descuentos en Matrículas por Voto (A-D-F).
Realizada la verificación de ingresos mediante la muestra de matrículas financieras con respecto al concepto "Descuento Voto", al generar los recibos de los estudiantes para la vigencia 2020, a través de la opción "Recibo de matrícula" en la página web de la Universidad y confrontado con los certificados electorales aportados por la División de Admisiones, Registro y Control Académico, se evidenció que en los 5 casos de estudiantes de pregrado que se describen en la siguiente tabla, el descuento se otorgó con el certificado electoral del 17 de junio de 2018 cuando las últimas elecciones se realizaron el 27 de octubre de 2019, por tanto este certificado no era válido para la vigencia 2020</t>
  </si>
  <si>
    <t>Deficiencias de control y falta de actualización de los aplicativos que intervienen en la liquidación y registro de la matrícula financiera generando la aplicación de descuentos sin el soporte respectivo por valor de $117.000. Hallazgo con presunta incidencia disciplinaria y fiscal.</t>
  </si>
  <si>
    <t>Implementar puntos de control en el regsitro de los factores de matrícula en los estudiantes admitidos y regulares</t>
  </si>
  <si>
    <t>Elaborar e implementar protocolo guía para el registro de los fatores de liquidación de matrícula en SIMCA</t>
  </si>
  <si>
    <t>Protocolo guía implementado</t>
  </si>
  <si>
    <t>Con oficio 4.2-52.5/530 del 7 de julio de 2023, la División de Admisiones, Registro y Control Académico remitió el procedimiento PA-GA-4.2-PR-13 de "Aplicación de Descuento de Matrícula Financiera para Admitidos y Estudiantes regulares" publicado en su versión 1 el 27 de junio de 2023
Pasó de 0% a 100%</t>
  </si>
  <si>
    <t>Avance del 100% por cuanto considera las situaciones de descuento por beneficios e incientivos en la matrícula financiera a estudiantes regulares de la Universidad.</t>
  </si>
  <si>
    <t>Profesional División de Admisiones, Registro y Control Académico
Coordinación SIMCA</t>
  </si>
  <si>
    <t>deficiencias de control y falta de actualización de los aplicativos que intervienen en la liquidación y registro de la matrícula financiera generando la aplicación de descuentos sin el soporte respectivo por valor de $117.000. Hallazgo con presunta incidencia disciplinaria y fiscal.</t>
  </si>
  <si>
    <t>Conciliar los reportes extraidos de SIMCA vs documentos físicos relativos a los factores de liquidación de matrícula de estudiantes admitidos, según calendario aprobado.</t>
  </si>
  <si>
    <t>Registros de conciliación de información</t>
  </si>
  <si>
    <t>Con oficio 4.2-52.5/426 del 23 de mayo de 2023, se remiten actas 4.2-1.56/002 y 003 del 07 y 10 de marzo de 2023 respecto de la conciliación SIMCA vs documentos físicos relativos a los factores
de liquidación de matrícula de estudiantes admitidos y 
SIMCA vs documentos físicos para el
reconocimiento del descuento por voto de estudiantes regulares con el fin de aportan a
la gestión de las acciones de mejora de la vigencia 2020.
Pasó de un 0 a 100% de avance</t>
  </si>
  <si>
    <t>De la conciliación a una muestra aleatoria de 103 casos de la vigencia 2020, y 50 de la vigencia 2021, se encuentra concordancia entre la información de SIMCA y los documentos físicos relativos a los factores de liquidación de matrícula de estudiantes admitidos.</t>
  </si>
  <si>
    <t>Conciliar los reportes extraidos de SIMCA vs documentos físicos para el reconocimiento del descuento por voto de estudiantes regulares, según calendario aprobado.</t>
  </si>
  <si>
    <t xml:space="preserve">De la conciliación a una muestra aleatoria de 103 casos de la vigencia 2020, y 50 de la vigencia 2021, se encuentra concordancia entre la información de SIMCA y los documentos físicos relativos a los factores de liquidación de matrícula de estudiantes admitidos, incluido el reconocimiento del descuento por voto. </t>
  </si>
  <si>
    <t>Ejecución de Ingresos Estampilla Universidad del Cauca (AD).
Al realizar la evaluación de la ejecución presupuestal de ingresos por concepto de estampillas, a través del reporte de movimiento de ejecución presupuestal suministrado por la Universidad para la vigencia 2020 y confrontado con los comprobantes de egreso para el mismo Concepto y vigencia aportados por la Gobernación del Cauca, se evidencia inconsistencia ya que el total ejecutado por la Universidad es de $2.500.000.000 en tanto que la Gobernación informó giros por un total de $2.155.472.700. Ver Tabla N° 22 del informe C.G.R.</t>
  </si>
  <si>
    <t>Sobreestimación o Subestimación de ingresos por concepto de estampilla Universidad del Cauca 180 años, ocasionado por factores externos que afectan el comportamiento del recaudo apropiado en la vigencia</t>
  </si>
  <si>
    <t>Establecer controles a la proyección, recaudo y ejecución, a nivel presupuestal y tesoral, de los recursos provenientes de la Estampilla Universidad del Cauca 180 años.</t>
  </si>
  <si>
    <t xml:space="preserve">Registrar contable y presupuestalmente la transferencia del mayor valor recaudado con respecto de la apropiación por concepto de estampilla 180 años en la misma vigencia </t>
  </si>
  <si>
    <t>Nota crédito de tesorería</t>
  </si>
  <si>
    <t>Notas credito Tesorería N°:
D80-202110344 del 19/04/2021, D80-202110762 del 27/04/2021, D80-202115766 del 19/07/2021, D80-202123371 del 19/10/2021.
*Notas credito de bancos y sus respectivas notas de ingresos Word. 
D803-202004621 del 29/02/2020, D803-202007536 del 19/05/2020, D803-202010227 del 18/08/2020, D803-202013984 del 22/10/2020, D803-202014524 del 06/11/2020, D803-202100052 del 31/01/2021
*Notas bancarias de la gobernación y las notas bancarias de la Universidad del Cauca para ver las diferencias excel.</t>
  </si>
  <si>
    <t>La División de Gestión Financiera con oficio 5.2-52.2/042 del 26/11/2021 remite:
Notas credito Tesorería N°:
D80-202110344 del 19/04/2021, D80-202110762 del 27/04/2021, D80-202115766 del 19/07/2021, D80-202123371 del 19/10/2021.
Con oficio 5.2-52.2/001 del 11/01/2022, la División de Gestión Financiera complementó la evidencia, así: 
*Notas credito de bancos y sus respectivas notas de ingresos Word. 
D803-202004621 del 29/02/2020, D803-202007536 del 19/05/2020, D803-202010227 del 18/08/2020, D803-202013984 del 22/10/2020, D803-202014524 del 06/11/2020, D803-202100052 del 31/01/2021
*Notas bancarias de la gobernación y las notas bancarias de la Universidad del Cauca para ver las diferencias excel.
Observación OCI:
Teniendo en cuenta la explicación detallada en las notas de tesorería sobre los recaudos por concepto de estampilla Universidad del Cauca 180 años, la OCI valida el avance del 100%.</t>
  </si>
  <si>
    <t xml:space="preserve">Profesional Especializado División Gestión Financiera
 Profesional Especializado Tesorería
Profesional Especializado Presupuesto </t>
  </si>
  <si>
    <t>Revisar el comportamiento de los recaudos presupuestal y tesoral de estampilla 180 años  e informar al ordenador del gasto, para el ajuste del presupuesto de ingresos y gastos por el menor valor recaudado, con respecto de la apropiación de la vigencia</t>
  </si>
  <si>
    <t>Acto administrativo de modificación del presupuesto (Adición o disminución)</t>
  </si>
  <si>
    <t xml:space="preserve">*Archivo excel con la ejecución de ingresos trimestrales y los valores pendientes de incorporar.
* Acuerdo superior de incorporación de recursos de Estampilla universidad del Cauca N° 040 del 03 de agosto de 2021. 
* Se envia proyección de acuerdo de incorporación de Estampilla Universidad del Cauca N° 069 del 24 de agosto de 2021. (PDF de acuerdos eviados por Consejo Superior).  </t>
  </si>
  <si>
    <t>La División de Gestión Financiera con oficio 5.2-52.2/042 del 26/11/2021 remite:
*Archivo excel con la ejecución de ingresos trimestrales y los valores pendientes de incorporar.
* Acuerdo superior de incorporación de recursos de Estampilla universidad del Cauca N° 040 del 03 de agosto de 2021. 
* Se envia proyección de acuerdo de incorporación de Estampilla Universidad del Cauca N° 069 del 24 de agosto de 2021. (PDF de acuerdos eviados por Consejo Superior).  
Observación OCI: 
Se verificó la aprobación  del Acuerdo 069 del 24 de noviembre de 2021 con el cual se adiciona el presupuesto de rentas y gastos de inversión de la Universidad del Cauca - Unidad 1 - Gestión General, para la vigencia fiscal del año 2021, financiado con ingresos corrientes - estampillas.
La OCI valida la evidencia reportada y otorga un avance del 100%</t>
  </si>
  <si>
    <t>Profesional Especializado División Gestión Financiera
 Profesional Especializado Tesorería
Profesional Especializado Presupuesto</t>
  </si>
  <si>
    <t>Conformación del Expediente Contractual (A).
Adelantada la revisión de los expedientes contractuales, tanto en las carpetas físicas como digitalizadas, según muestra requerida, se evidenció lo siguiente:
A. Se cuenta con informes de los supervisores designados, sin embargo, no se encontró soporte documental que evidencie el cumplimiento del objeto contractual</t>
  </si>
  <si>
    <t>escaso implemenatacion del proceso de gestion documental en los expedientes contractuales</t>
  </si>
  <si>
    <t xml:space="preserve">implementar acciones tendientes a completar los expedientes contractuales </t>
  </si>
  <si>
    <t xml:space="preserve"> Elaborar el diagnóstico de los tipos documentales que integran los expedientes contractuales de las vigencia 2020 </t>
  </si>
  <si>
    <t xml:space="preserve">Diagnóstico de los tipos documentantales </t>
  </si>
  <si>
    <t>Con oficio 5-71.7/378 del 23/06/2023, envió:
Documento Diagnóstico  2020 "DIAGNOSTICO DEL ESTADO DE LOS EXPEDIENTES CONTRACTUALES VIGENCIA 2020" y Anexo 1. Reconstrucción 2020-2021 en Excel
Documento "INFORME 2020":  cuyo objetivo es identificar el estado de los expedientes contractuales vigencia 2020.</t>
  </si>
  <si>
    <t xml:space="preserve">La Vicerrectoría Administrativa - Área de Contratación, elaboró el diagnóstico de los expedientes contractuales vigencia 2020, en el que describe la gestión adelantada para la reconstrucción de los expedientes contractuales, que contiene información requerida para la toma de decisiones por el Comité de Archivo. </t>
  </si>
  <si>
    <t xml:space="preserve">Solicitar a las dependencia los soportes faltantes para completar los expedientes, según el resultado del diagnóstico </t>
  </si>
  <si>
    <t>registro de solicitudes y soportes</t>
  </si>
  <si>
    <t>En tiempo</t>
  </si>
  <si>
    <t xml:space="preserve">
Con oficio 5-71.7/378 del 23/06/2023 se remite las evidencias que dan cuenta de los requerimientos a las dependencias y/o universitrarios, cuyo asunto se relaciona con la reconstrucción de firmas de los diferentes tipos documentales que conforman los expedientes contractuales de la Vicerrectoría Administrativa, con base en el diagnóstico del estado de los expedientes contractuales 2020, entre ellos: Oficio 5-92.8/1123 de 2022,  Correos electrónicos, Oficio 5-92.8/0038 de 2023, Oficio 5-92.8/0198 de 2023, Oficio 5-92.8/0199 de 2023, Oficio 5-92.5/0624 de julio de 2021,  Oficio 5-52/638 de agosto de 2021,  Oficio 5-92.8/739 de septiembre de 2021, Oficio 5-92.8/979 de septiembre de 2021, Acta n° 01 del 21 de enero de 2022, Oficio 5-52/125 de febrero de 2022, Oficio 5-52.5/254 de mayo de 2023, Oficio 6.1-52.5/294 de mayo de 2023, correo electrónico - VRI verificación de Contratación Vigencias 2020 y 2021, Correo electrónico- Certificados de pago faltantes Vigencias 2020 y 2021, correo electrónico - VRI Contratos faltantes Vigencias 2020 y 2021, Correo electrónico - Contratos faltantes vigencias 2020 y 2021</t>
  </si>
  <si>
    <t>La Vicerrectoría Administrativa, requirió los expedientes contractuales con sus respectivas firmas, tipos documentales faltantes, entre otros,  a las instancias y/o universitarios para la reconstrucción del archivo 2020.
Se presentan solicitudes informales, sin aplicación de la respectiva TRD y sin suscribir por el Vicerrector Administrativo.</t>
  </si>
  <si>
    <t>Remitir al Comité de Archivo el informe del estado de los expedientes contractuales, vigencia 2020 con informacion incompleta para las decisiones correspondientes.</t>
  </si>
  <si>
    <t xml:space="preserve"> Informe sobre el estado de los expedientes contractuales</t>
  </si>
  <si>
    <t>Con oficio 5-52.5/643 del 17 de noviembre de 2023, la Vicerrectoría Administrativa envió al Comité de Archivo de la Universidad del Cauca el informe del estado de los expendientes contractuales vigencia 2020, para las decisiones correspondientes.</t>
  </si>
  <si>
    <t>El informe contempla un universo de 1265 expedientes contractuales de la vigencia 2020, de los cuales solamente 68 tienen la totalidad de los tipos documentales, pendientes 1197. Entre los documentos faltantes se encuentra: 304 expedientes sin el formato PA-GA-FOR-38 solicitud de contratación, 171 sin el certificado de talento humano, 493 sin la hoja de vida del SIGEP, 568 evaluación a proveedores, 821 sin actas de liquidación, 691 sin documentos de pago y 46 carpetas pendientes de entregar. 
Se asigna 50% de avance, por la presentación del informe al Comité de Archivo, pendiente la implementación de las decisiones tendientes a la completitud de los tipos documentales de los expedientes contractuales.</t>
  </si>
  <si>
    <t>Vicerrector (a) Administrativo (a)
Secretaria General - Gestión Documental</t>
  </si>
  <si>
    <t>B. En los informes de los supervisores, se evidenció que hacen referencia a los números de planillas de pago de aportes a la seguridad social y parafiscales, pero las mismas no son integradas al expediente contractual</t>
  </si>
  <si>
    <t>Vicerrector (a) Administrativo (a)
Secretaria General - Gestión Documental
Profesional Especializado División Gestión Financiera</t>
  </si>
  <si>
    <t>Información Reportada a la Auditoría (A)
Frente a la muestra contractual, se logró determinar por parte del grupo auditor que, en la información reportada por la Universidad del Cauca a la CGR al inicio de la Auditoría Financiera, vigencia 2020; parte de la misma no concuerda con la allegada en forma física y/o digitalizada. Ver tablas N° 23, 25 y 26 del informe C.G.R.</t>
  </si>
  <si>
    <t>Por ausencia de controles en el manejo de información, generando inconsistencias en la misma, lo cual dificulta la verificación y seguimiento</t>
  </si>
  <si>
    <t xml:space="preserve">Implemetar mecanismos de mejora a los reportes de la Información
</t>
  </si>
  <si>
    <t>Confrontar la información registrada en la base de datos de contratación Vs reporte RRMG del Finanzas Plus.</t>
  </si>
  <si>
    <t>Reporte mensual de contratacion validado</t>
  </si>
  <si>
    <t>Hallazgo 14 2020.Info  Sistema Finanzas Plus para diligenciamiento de ABC</t>
  </si>
  <si>
    <t>En el seguimiento realizado el 05/12/2022, se constató in situ y se confrontó con las evidencias reportadas, que la información de de contratación en el ABC, se ajusta de acuerdo a la información remitida por Financiera del sistema Finanzas Plus. 
El avance pasa del 70% al 100%</t>
  </si>
  <si>
    <t>Vicerrector (a) Administrativo (a)
Profesional Especializado División Gestión Financiera</t>
  </si>
  <si>
    <t>SEGUIMIENTO PLAN DE MEJORAMIENTO - CONTRALORÍA GENERAL DE LA REPÚBLICA AUDITORÍA VIGENCIA 2021</t>
  </si>
  <si>
    <t>Auditoría Externa vigencia 2021</t>
  </si>
  <si>
    <t>Sostenibilidad de la calidad de la información financiera cuentas por cobrar (A) A) A 31 de diciembre de 2021, los auxiliares contables de las subcuentas 13170101 Servicios académicos, 138490 Otras cuentas por cobrar y 1385020101 Cuentas por cobrar de difícil recaudo - Servicios académicos,  presentan saldos contrarios a la naturaleza de las cuentas, así:1. Cuenta 131701 Servicios educativos. Servicios Académicos, presenta 146 registros con saldo contrario a la naturaleza de la cuenta por (-) $15.012.069. 2. Cuenta 138490 Otras cuentas por cobrar, presenta 534 registros con saldo contrario a la naturaleza de la cuenta por (-) $26.722.884</t>
  </si>
  <si>
    <t>Falta identificar la integralidad de los conceptos que afectan la cuenta deudores y no están parametrizados en los sistemas, y su seguimiento.</t>
  </si>
  <si>
    <t>Identificar la integralidad de los conceptos que afectan la cuenta deudores y no están parametrizados en los sistemas, y realizar su seguimiento.</t>
  </si>
  <si>
    <t>Realizar un diagnóstico sobre los conceptos que afectan la cuenta deudores.</t>
  </si>
  <si>
    <t>Diagnóstico realizado.</t>
  </si>
  <si>
    <t>2022/07/11</t>
  </si>
  <si>
    <t>2022/08/11</t>
  </si>
  <si>
    <t>28/11/2022</t>
  </si>
  <si>
    <t>Diagnóstico en físico</t>
  </si>
  <si>
    <t xml:space="preserve">"Con oficio 5-84/0662 del 7/09/2022, la Vicerrectoría Administrativa remitió un diagnóstico con la identificación de conceptos a la fecha, y que se encuentran parametrizados en el sistema, sin embargo, informan que se envió la solicitud de información a diferentes dependencias y facultades, para idfentificar y parametrizar los nuevos conceptos. 
Con oficio 5-84/ 0860 del 25/11/2022, la vicerrectoría Administrativa remitió diagnóstico donde identifica los conceptos faltantes por parametrizar.
OCI: En la visita realizada por la OCI el 28/11/2022 a la Técnica Administrativa de Cartera, se evidenció que se realizó el diagnóstico sobre los conceptos que afectan la cuenta deudores, en las diferentes dependencias y facultades de la Institución.
Se evidencia la completitud de la actividad, por lo que se asigna un avance del 100%."
</t>
  </si>
  <si>
    <t>Vicerrector Administrativo, 
Profesional Especializado División de Gestión Financiera</t>
  </si>
  <si>
    <t>1. Cuenta 131701 Servicios educativos Servicios Académicos, presenta 146 registros con saldo contrario a la naturaleza de la cuenta por (-) $15.012.069. 2. Cuenta 138490 Otras cuentas por cobrar, presenta 534 registros con saldo contrario a la naturaleza de la cuenta por (-) $26.722.884</t>
  </si>
  <si>
    <t>Identificar los conceptos que afectan la cuenta deudores.</t>
  </si>
  <si>
    <t>Porcentaje de  Conceptos identificados.</t>
  </si>
  <si>
    <t>2022/09/30</t>
  </si>
  <si>
    <t>Hallazgo 1 2021. Matriz de conceptos parametrizados</t>
  </si>
  <si>
    <t xml:space="preserve">De acuerdo al compromiso adquirido por la técnica Administrativa de cartera en el seguimiento realizado el 28/11/2022, mediante correo electrónico del mísmo día, se remitió el registro de los conceptos identificados y parametrizados en el sistema, cumpliendo con la totalidad de conceptos remitidos por las dependencias y facultades. 
El avance pasó al 100%. </t>
  </si>
  <si>
    <t xml:space="preserve">Vicerrector Administrativo, 
Profesional Especializado División de Gestión Financiera. </t>
  </si>
  <si>
    <t>Parametrizar los sistemas de apoyo a la gestión de la cuenta deudores.</t>
  </si>
  <si>
    <t>Porcentaje de Conceptos parametrizados en los sistemas.</t>
  </si>
  <si>
    <t>2022/10/15</t>
  </si>
  <si>
    <t xml:space="preserve">Vicerrector Administrativo, 
Profesional Especializado División de Gestión Financiera </t>
  </si>
  <si>
    <t>Realizar seguimiento a la cuenta deudores - servicios académicos.</t>
  </si>
  <si>
    <t>Seguimientos realizados.</t>
  </si>
  <si>
    <t>2023/07/07</t>
  </si>
  <si>
    <t xml:space="preserve">La Vicerrectoría Administrativa con oficio 5-71.7/646 del 17/11/2023 remitió las siguientes evidencias: 
1. Oficio 5-84/485 del 25 de octubre de 2023
 2. Carpeta comprimida con evidencias cobro coactivo </t>
  </si>
  <si>
    <t>II semestre 2023: Se evidencia el seguimiento que el grupo de Credito de Cartera de la Vicerrectoria Administrativa realizó a la cuenta deudores - servicios académicos, para lo que informan que "del 100% de la cartera catalogada en esta instancia se remite una muestra del 26,79% que demuestra las actuaciones adelantadas para la recuperación de la cartera, en la que se presentan 47 expedientes activos con sus respectivos soportes y por otro lado, otros 50 expedientes que validan la gestión efectiva de cobro, dado que se recupera al 100% el valor de la deuda".
En la revisión aleatoria de los soportes remitidos, se evidencian acuerdos de pago, recibos de pago de cuotas y la terminación de los acuerdos de pago por finalización de la deuda, además, la aplicación de los formatos de seguimiento de cartera- etapa persuasiva- etapa coativa y lista de chequeo de crédito y cartera, el envío de notificaciones a los deudores, entre otros, con los que se evidencia el seguimiento realizado. 
Con la evidencia de los seguimientos permanentes realizados a los deudores, se da cumplimiento a la actividad en un 100%.</t>
  </si>
  <si>
    <t>B) Los documentos soportes de los registros contables de las subcuentas 13170101 Servicios académicos, 138490 Otras cuentas por cobrar y 1385020101 Cuentas por cobrar de difícil recaudo - Servicios Académicos, se encontraron registros que no corresponden a la información que reporta el sistema de facturación o se generaron por errores en la codificación al efectuar el registro contable,</t>
  </si>
  <si>
    <t>Falta ajustar la totalidad de los conceptos por el cambio de la codificación contable de la cuenta deudores.</t>
  </si>
  <si>
    <t>Ajustar los terceros que  presentan sobreestimación por los cambios en la codificacion contable de los saldos en las subcuentas objeto del hallazgo.</t>
  </si>
  <si>
    <t>Elaborar las notas de contabilidad con los ajustes de los terceros con sobre o sub estimación que se relaciona en las subcuentas del hallazgo.</t>
  </si>
  <si>
    <t>Porcentaje de Notas de contabilidad elaboradas.</t>
  </si>
  <si>
    <t>2022/11/07</t>
  </si>
  <si>
    <t>2023/07/11</t>
  </si>
  <si>
    <t>La División de Gestión Financiera con oficio 5.2-52.2/0174 del 30/06/2023 relacionó 756 notas de ajuste y 6 notas de tesorería, informando que corresponden a la totalidad de saldos por ajustar, se revisó las siguientes notas de contabilidad:  
D924-202200002, D924-202200003, D924-202200006, D924-202200007, D924-202200008, D924-202200009, D924-202200010, D924-202200015, D924-202200014, D924-202200016, D924-202200017, 
D924-202200003, D918-202200053
Nota Tesorería D803- 202202220, D803- 202205520, D803- 202206006</t>
  </si>
  <si>
    <t xml:space="preserve">Con oficio 5.2-52.5/697 del 21/12/2022, la División de Gestión Financiera remitió las notas de contabilidad de los ajustes realizados a la fecha, informando que corresponden a los registros de las tablas 17, 18 y 19 del hallazgo, y que del total a ajustar $2.957.098.449, se ajustó $1.614.183.449, equivalente al 54,59%, además, informan que se realiza seguimiento al proceso de matricula de gratuidad correspondiente al periodo 2021.2
De la revisión aleatoria a las notas de contabilidad remitidas: D918 - 202200053, D924 202200107,  D924- 202200004 y  D924- 202200005, se evidencia el ajuste, sin embargo, el cierre de la actividad depende del ajuste a la totalidad de errores determinados por la CGR tablas 17,18 y 19, por lo que el avance pasa al 55%.
2023: De la revisión aleatoria a las notas de contabilidad relacionadas por la División de Gestión Financiera, y comparadas con las tablas 17,18 y 19 del informe de auditoría financiera de la CGR, se da cumplimiento a la actividad en un 100%. 
No obstante, la actividad del hallazgo será objeto de seguimiento para valorar su efectividad. </t>
  </si>
  <si>
    <t xml:space="preserve">Vicerrector Administrativo, 
Profesional Especializado División de Gestión Financiera.
</t>
  </si>
  <si>
    <t>Sostenibilidad de la calidad de la información financiera – cuentas por pagar (A) En los registros contables de las subcuentas 24010102 Adquisición de servicios nacionales y 249032 Cheques no cobrados o por reclamar, se encontraron saldos que no corresponden a una obligación cierta de la entidad, los cuales se relacionan en las tablas No. 20 y 21. Sobreestimación en los saldos de la Subc</t>
  </si>
  <si>
    <t>Falta de seguimiento a la cuenta contable-Cuentas por pagar; subcuentas Adquisición de servicios nacionales y cheques no cobrados o por reclamar.</t>
  </si>
  <si>
    <t>Realizar la gestión de la cuenta contable-Cuentas por pagar, subcuentas Adquisición de servicios nacionales y cheques no cobrados o por reclamar.</t>
  </si>
  <si>
    <t>Ajustar e implementar el procedimiento relacionado con la cuenta contable  24010102 y 249032: PA-GA 5.2-PR-1 (Conciliaciones Bancarias y Saldos de Tesorería y Contabilidad).</t>
  </si>
  <si>
    <t>Procedimiento ajustado e implementado</t>
  </si>
  <si>
    <t>La División de Gestión Financiera con oficio 5.2-52.2/007 del 17/11/2023 remitió las siguientes evidencias: 
1. Procedimiento PA-GA 5.2-PR-1 Conciliaciones Bancarias y Saldos de Tesorería y Contabilidad - Versión 7 del 10/11/2023.
2. Evidencias implementación procedimiento: Oficio de confirmación derechos a Acreencias Laborales, relación de saldos cheques no cobrados o por reclamar, correos electrónicos de notificación de cheques no cobrados o por reclamar a los beneficiarios, notas contables de ajuste, notas contables de ajustes y depuraciones</t>
  </si>
  <si>
    <t xml:space="preserve">II semestre 2023: Se evidencia el ajuste del procedimiento Conciliaciones Bancarias y Saldos de Tesorería y Contabilidad Versión 7 del 10/11/2023, de acuerdo con las recomendaciones de la OCI en el seguimiento del primer semestre del 2023, respecto de la descripción de las actividades, responsables y puntos de control, y su publicación en el portal web Institucional- Programa LVMEN. 
Por su parte, se revisó las evidencias de implementación, en las que se observa el seguimiento a los saldos de la subcuenta de cheques no cobrados o por reclamar encontrados en la auditoría de la CGR 2021, y el ajuste de algunos saldos de personas que ya realizaron el proceso de cobro y de uno que desistió de él.
Con la evidencia de la publicación del procedimiento y su implementación, se otorga el 100% de avance a la actividad. </t>
  </si>
  <si>
    <t>Ajustar e implementar el procedimiento relacionado con la cuenta contable  24010102 y 249032:Procedimiento PA-GA 5.4.5-PR-16 (Adquisición y control de bienes)</t>
  </si>
  <si>
    <t xml:space="preserve">Se realizó sesión del Comité de Sostenibilidad Contable el día 15/12/2023, como consta en acta 5.2-1.84/003 de la misma fecha, punto 2. </t>
  </si>
  <si>
    <t xml:space="preserve">
II semestre 2023: El día 11/12/2023 la OCI realizó visita a la División de Gestión Financiera, y se determinó la necesidad de realizar los ajustes al procedimiento PA-GA 5.4.5-PR-16 (Adquisición y control de bienes), tema que se trató en el Comité de sostenibilidad contable del 15/12/2023, en el que se acordó que el Área de Adquisiciones e Inventarios mejore los controles del procedimiento (Acta 5.2-1.84/003).  
La actividad permenece con 0% ya que no se recibió avances de las dependencias responsables. </t>
  </si>
  <si>
    <t>Ajustar e implementar el procedimiento relacionado con la cuenta contable  24010102 y 249032: procedimiento PA-GA 5.2-PR-6 V4 (Egresos presupuestales)</t>
  </si>
  <si>
    <t>La División de Gestión Financiera con oficio 5.2-52.2/007 del 17/11/2023 remitió las siguientes evidencias: 
1. Procedimiento PA-GA 5.2-PR-6, Egresos Presupuestales versión 7 del 30/10/2023
2. Documentos de ajuste cuentas por pagar 
3. Actas de baja por fenecimiento de cuentas por pagar vigencias anteriores</t>
  </si>
  <si>
    <t>II semestre 2023: Se evidencia el ajuste del procedimiento Egresos presupuestales, según lo recomendado por la OCI, y su publicación en el portal web Institucional- Programa LVMEN, pero no se logró verificar su implementación. 
De la revisión aleatoria a los documentos que soportan los ajustes de las cuentas por pagar en el Sistema Financiero, se evidencia la aplicación del procedimiento PA-GA 5.2-PR-6 V4 respecto de la actividad 16, conforme lo dispone el acta N° 5.2-1.56-0031 del 26/06/2023 Baja Cuentas por Pagar.
Con los ajustes realizados al procedimiento, su publicación y aplicación, la actividad alcanza un avance del 100%.</t>
  </si>
  <si>
    <t>Profesional Especializado División de Gestión Financiera.</t>
  </si>
  <si>
    <t>Conciliaciones bancarias (A). La conciliación bancaria de la cuenta de ahorros 220-290-720XX-X del Banco Popular a 31/12/2021 registra partidas conciliatorias que superan 3 años de antigüedad, sin que se hayan realizado los ajustes y reclasificaciones según lo establecido en los procedimientos de la entidad: Tabla No. 22 Créditos no registrados en libro auxiliar. Vr. Total $476 millones</t>
  </si>
  <si>
    <t>Los resultados de las conciliaciones bancarias no se reflejan en el libro auxiliar y en los estados financieros como insumo para la toma de decisiones por le Comité de Sostenibilidad Contable.</t>
  </si>
  <si>
    <t>Realizar seguimiento a las partidas conciliatorias.</t>
  </si>
  <si>
    <t>Presentar ante el Comité de Sostenibilidad Contable el resultado del seguimiento a las partidas conciliatorias bancarias mayores o iguales a 3 años.</t>
  </si>
  <si>
    <t>Informe presentado al Comité.</t>
  </si>
  <si>
    <t>2023/03/07</t>
  </si>
  <si>
    <t xml:space="preserve">La División de Gestión Financiera con oficio 5.2-52.2/007 del 17/11/2023 remitió las siguientes evidencias: 
1. Evidencias presentadas en la vigencia 2022:
- Acta Reuniones CTSC 5.2-1.84-001 22-DIC-2022
-Diapósitivas presentación CTSC
-Relación partidas no identificadas para CTSC 2022
2. Notas de tesorería registro de las partidas no identificadas
Se realizó sesión del Comité de Sostenibilidad Contable el día 15/12/2023, como consta en acta 5.2-1.84/003 de la misma fecha, subpunto 3 del punto 1 y punto 2. </t>
  </si>
  <si>
    <t>II semestre 2023: El 15/12/2023 se realizó sesión del Comité de Sostenibilidad Contable, en el que se comunicó los resultados del seguimiento a las partidas conciliatorias bancarias mayores o iguales a 3 años, en cumplimiento de los compromisos adquiridos por la División en la sesión anterior. 
En los puntos 1 y 2 del acta de la sesión del comité de sostenibilidad contable del 15/12/2023, se evidencia la presentación de los resultados del seguimiento a las partidas, con lo que el avance pasa del 75% al 100%.</t>
  </si>
  <si>
    <t xml:space="preserve">MABEL VERIFICAR </t>
  </si>
  <si>
    <t>Profesional Especializado División de Gestión Financiera, 
Profesional Especializado Tesorero División de Gestión Financiera.</t>
  </si>
  <si>
    <t>Conciliaciones bancarias (A). La conciliación bancaria de la cuenta de ahorros 220-290-720XX-X del Banco Popular a 31/12/2021 registra partidas conciliatorias que superan 3 años de antigüedad, sin que se hayan realizado los ajustes y reclasificaciones según lo establecido en los procedimientos de la entidad: Tabla No. 22 Créditos no registrados en libro auxiliar Vr. Total $476 millones.</t>
  </si>
  <si>
    <t>Identificar y registrar en el libro auxiliar las partidas conciliatorias bancarias según las decisiones del Comité de Sostenibilidad Contable.</t>
  </si>
  <si>
    <t>Registros en libro auxiliar de partidas conciliatorias bancarias.</t>
  </si>
  <si>
    <t>La División de Gestión Financiera con oficio 5.2-52.2/0174 del 30/06/2023 respondió que se se registraron las partidas conciliatorias correspondientes a 28 notas credito de tesoreria, por valor total de $31.611.769, cumpliendo con lo aprobado por el Comité de Sostenibilidad Contable, Acta No.5.2-1.84/001 del 22-diciembre-2022. 
Para lo anterior relacionaron 23 notas crédito de tesorería: 
D803-202326815, D803-202326816, D803-202326817, D803-202326818, D803-202326819, D803-202326820, D803-202326821, D803-202326822, D803-202326823, D803-202326824, D803-202326825, D803-202326826, D803-202326827,D803-202326828,D803-202326829, D803-202326830, D803-202326831, D803-202326832, D803-202326833, D803-202326834, D803-202326835, D803-202326836, D803-202326837. 
Se revisó las Nota tesorería:  D803- 202326834, D803- 202326835, D803- 202326836, D803- 202326837</t>
  </si>
  <si>
    <t>2023: Verificadas las 4 notas de tesorería (D803- 202326834, D803- 202326835, D803- 202326836, D803- 202326837), con los registros de la tabla 22 que menciona el hallazgo, se determina que se da cumplimiento a la actividad, en cuanto se registraron las partidas conciliatorias bancarias de acuerdo con lo aprobado por el Comité de sostenibilidad contable ($31.611.769).
La actividad se cumple en un 100%.</t>
  </si>
  <si>
    <t>Profesional Especializado División de Gestión Financiera, Profesional Especializado Contador División de Gestión Financiera, 
Profesional Especializado Tesorero División de Gestión Financiera</t>
  </si>
  <si>
    <t>Sostenibilidad de la calidad de la información financiera – anticipos (A). En los registros contables de las subcuentas 190514 Bienes y servicios pagados por anticipado y 190604 Anticipo para adquisición de bienes y servicios, se encontraron saldos pendientes de amortizar que datan de vigencias anteriores y sobre los que la entidad no tiene la certeza de la existencia del derecho. Tabla</t>
  </si>
  <si>
    <t>Falta de seguimiento y depuración de los anticipos entregados que afectan la cuenta contable.</t>
  </si>
  <si>
    <t>Realizar el seguimiento y depuración de los anticipos entregados que afectan la cuenta contable.</t>
  </si>
  <si>
    <t>Seguimiento y depuración de los terceros con saldos pendientes de amortizar de vigencias anteriores en las subcuentas objeto del hallazgo.</t>
  </si>
  <si>
    <t>Porcentaje de registros de Seguimiento y depuración.</t>
  </si>
  <si>
    <t>La División de Gestión Financiera con oficio 5.2-52.2/007 del 17/11/2023 remitió las siguientes evidencias: 
1. Concepto jurídico 2.5-24.1/020 del 22 de marzo de 2022 "Reintegro de recursos no ejecutados en convenios"
2. Concepto de la Contaduría General de la Nación 20192000068901 del 02-Feb-2019 "Tratamiento Contable de los avances y anticipos entregados
3. Evidencia amortización 190604 - 190514 Vigencia 2021
Se realizó sesión del Comité de Sostenibilidad Contable el día 15/12/2023, como consta en acta 5.2-1.84/003 de la misma fecha, punto 3.</t>
  </si>
  <si>
    <t xml:space="preserve">II semestre 2023: En la revisión y conciliación de las evidencias de amortización de los terceros con saldos de vigencias anteriores, y según lo informado por la División de Gestión Financiera, de los 30 terceros determinados por la CGR por  $522.156.821, se logro realizar seguimiento y depuración a un valor total de  $207.392.485 que corresponden a un 39.7%.
Además, la División de Gestión Financiera informó las dificultades en la recopilación de soportes para la amortización de los terceros objeto del hallazgo teniendo en cuenta su antigüedad, y comunican que se requiere tratar el tema en el Comité Técnico de Sostenibilidad Contable. 
En la sesión del Comité de Sostenibilidad Contable del 15/12/2023, se trató sobre los inconvenientes para liquidar los convenios, acordando "Programar reunión con las áreas competentes, tendientes a adelantar las gestiones administrativas para la depuración de las cifras contenidas en los anticipos entregados en vigencias anteriores pendientes de legalizar"
Debido a lo anterior, la actividad mantiene el 68% de avance del I semestre 2023, pendiente la evidencia de la depuración de la totalidad de los saldos de vigencias anteriores de las cuentas 190514 y 190604, de acuerdo con la decisión del comité. </t>
  </si>
  <si>
    <t>Actualizar el procedimiento PA-GA-5.2-PR-6 Egresos presupuestales, con los lineamientos de la Resolución R-0514/2021 en lo relativo al control de informes para amortizar los anticipos.</t>
  </si>
  <si>
    <t xml:space="preserve">Procedimiento Actualizado </t>
  </si>
  <si>
    <t xml:space="preserve">La División de Gestión Financiera con oficio 5.2-52.2/007 del 17/11/2023 remitió las siguientes evidencias: 
1. Procedimiento PA-GA 5.2-PR-6, Egresos Presupuestales versión 7 del 30/10/2023 </t>
  </si>
  <si>
    <t xml:space="preserve">II semestre 2023: Se evidencia el ajuste del procedimiento Egresos presupuestales, según lo recomendado por la OCI, y su publicación en el portal web Institucional- Programa LVMEN, cuya actividad 13 describe la actividad relacionada con anticipos. 
Con lo anterior, se otorga un 100% de avance a la actividad. </t>
  </si>
  <si>
    <t>Notas generales a los estados financieros a 31 de diciembre de 2021 (A). En las Notas generales a los Estados financieros 2021 a 31/12/2021, el representante legal y el contador, certifican que los estados financieros se elaboran conforme al marco normativo para entidades de gobierno, emitido por la CGN, según Resolución 533/2015 y sus modificatorias y el AS 084/2021 que actualiza y/o es</t>
  </si>
  <si>
    <t>Invocar normas sin los requisitos de validez en las notas a los estados financieros.</t>
  </si>
  <si>
    <t>Verificar que el sustento normativo de las notas a los estados financieros, estén debidamente formalizados.</t>
  </si>
  <si>
    <t>Ajustar el procedimiento en lo relativo al control en la elaboración de las notas contables respecto del marco normativo vigente aplicable.</t>
  </si>
  <si>
    <t>Procedimiento ajustado e implementado.</t>
  </si>
  <si>
    <t>2022/11/30</t>
  </si>
  <si>
    <t>La División de Gestión Financiera con oficio 5.2-52.2/007 del 17/11/2023 remitió las siguientes evidencias:
 1. Procedimiento Preparación, aprobación, validación y publicación de Estados 
Financieros e informes financieros y contables PA-GA 5.2-PR-12, versión 5 del 20/09/2023</t>
  </si>
  <si>
    <t>II semestre 2023: Se evidencia la publicación del procedimiento de Elaboración y Aprobación de Estados Financieros  PA-GA 5.2-PR-12 Versión 5 del 20/09/2023, y la publicación de los Informes financieros donde se observa la aplicación del procedimiento respecto de las notas a los estados financieros, por lo que la actividad pasa del 10% al 100% de avance.</t>
  </si>
  <si>
    <t>En las subcuentas 13170101 Servicios académicos, 138490 Otras cuentas por cobrar y 1385020101 Gestión de cartera - Cuentas por cobrar servicios educativos (A) (D) A) Cuentas por cobrar de difícil recaudo - Servicios Académicos, se observa el incumplimiento de la normatividad establecida, para financiar los servicios educativos: el reglamento interno de cartera y el procedimiento de juris</t>
  </si>
  <si>
    <t>Casos especiales reiterativos para la financiación de matrículas financieras de pregrado y posgrado en condición de becarios o beneficiarios de estímulos.</t>
  </si>
  <si>
    <t>Definir una herramienta que evidencie el cumplimiento de los requisitos de financiación de matrícula financiera.</t>
  </si>
  <si>
    <t>Ajustar el procedimiento de financiación de matrícula financiera.</t>
  </si>
  <si>
    <t>Procedimiento ajustado.</t>
  </si>
  <si>
    <t>Con oficio 5-84/0182 del 21/04/2023, la Vicerrectoría Administrativa remitió: 
-Procedimiento Financiación de Derechos de Matrícula y Complementarios, V5 del 13/03/2023 .
-Instructivo para Financiación de Matrícula Financiera Estudiantes
Regulares de Pregrado y Posgrado V3 del 16/01/2023</t>
  </si>
  <si>
    <t xml:space="preserve">2023: Se verificó el ajuste y publicación del procedimiento Financiación de Derechos de Matrícula y Complementarios en el programa LVMEN del portal Web Institucional, así como del instructivo, por lo que se da cumplimiento al 100% de la actividad planteada. </t>
  </si>
  <si>
    <t xml:space="preserve">Vicerrector Administrativo
</t>
  </si>
  <si>
    <t>En las subcuentas 13170101 Servicios académicos, 138490 Otras cuentas por cobrar y 1385020101 Gestión de cartera - Cuentas por cobrar servicios educativos (A) (D). A) Cuentas por cobrar de difícil recaudo - Servicios Académicos, se observa el incumplimiento de la normatividad establecida, para financiar los servicios educativos: el reglamento interno de cartera y el procedimiento de juri</t>
  </si>
  <si>
    <t>Crear una herramienta para validar el cumplimiento de los requisitos exigibles en el procedimiento de financiación de matrícula financiera.</t>
  </si>
  <si>
    <t>Herramienta de validación implementada.</t>
  </si>
  <si>
    <t xml:space="preserve">Revisión Física. </t>
  </si>
  <si>
    <t xml:space="preserve">Con oficio 5-84/0661 del 07/09/2022, la Vicerrectoría Administrativa remitió respuesta del cumplimiento de la actividad, en la que relacionala creación de la lista de chequeo, evidenciada en LVMEN con Versión 1, del 10/05/2022.
En el seguimiento realizado en la visita del 28/11/2022, se revisó una muestra aleatoria de las carpetas de financiación de matrícula financiera, de los estudiantes identificados con los documentos Nos.1061790559, 1085898520, 1061814021, 1061760408, 1085246691, 34323756, 10296353, 1061779000, 1061713471; se constató que a partir del periodo 2022- 2 se implementó el formato PA-GA-5-OD-19 V1 del 10/05/2022 que permite verificar el aporte de los requisitos exigidos para financiación. Se otorgó un avance del 100%. </t>
  </si>
  <si>
    <t>B) 2. Se incumplen los términos para desarrollar la etapa de cobro persuasivo y cobro coactivo.  4. Incumplimiento a los acuerdos de pago, sin que se inicie inmediatamente las acciones judiciales y coactivas respectivas. 5. Investigación de bienes tardía</t>
  </si>
  <si>
    <t>Planeación no sincronizada entre el cronograma para el cobro financiero y el calendario Académico.</t>
  </si>
  <si>
    <t>Articular la planeación del cronograma para el cobro financiero, con lo estipulado en el calendario Académico.</t>
  </si>
  <si>
    <t>Actualizar la herramienta de seguimiento de los procesos de recuperación de cartera, que evidencie la articulación del cronograma para el cobro financiero con el calendario Académico.</t>
  </si>
  <si>
    <t>PA-GA-5-FOR-15 Seguimiento Cartera - Etapa Persuasiva - Etapa Coactiva V1 del 22/08/2022</t>
  </si>
  <si>
    <t xml:space="preserve">En visita del 28/11/2022 a la Técnica Administrativa de Cartera, se presentaron las evidencias de seguimiento a la recuperación de cartera – etapa persuasiva- etapa coactiva PA-GA- 5- FOR-15: V1, publicada en la página web Institucional- programa LVMEN, con lo que se otorgó un avance del 100%. </t>
  </si>
  <si>
    <t>C) 3. Acuerdos de pago firmados con docentes de la entidad, donde autorizan descuento por nómina y éstos no se ejecutan.</t>
  </si>
  <si>
    <t>Debilidad en los controles aplicados en las novedades reportadas por descuento en nómina.</t>
  </si>
  <si>
    <t>Fortalecer el control de las novedades reportadas por descuento de nómina.</t>
  </si>
  <si>
    <t>Actualizar el formato PA-GA-5.1-FOR 12 de solicitud de descuentos por nómina, donde se de claridad y se evidencie la causal de anulación del descuento.</t>
  </si>
  <si>
    <t>Formato actualizado.</t>
  </si>
  <si>
    <t>PA-GA-5.1-FOR-12 Solicitud de Descuentos por Nómina V3 del 06/12/2022</t>
  </si>
  <si>
    <t>Se verificó en LVMEN la actualización del formato  PA-GA-5.1-FOR 12 Versión 3 del 06/12/2022.
Pasó de un 70% a un 100% de avance</t>
  </si>
  <si>
    <t xml:space="preserve">Vicerector Administrativo Profesional Especializado - División de Gestión de Talento Humano </t>
  </si>
  <si>
    <t>Vigencias expiradas y pagos por conciliaciones. (A) (D) A) Al cierre presupuestal de la vigencia 2021, no se autorizó la constitución de reservas presupuestales de compromisos legalmente adquiridos por la entidad, induciendo a que se paguen vigencias expiradas, para registros de disponibilidad por $323.924.093, con conceptos tales como estímulos económicos; tutorías y profesores visitant</t>
  </si>
  <si>
    <t>Deficiente labor en la supervisión/seguimiento de los actos administrativos, por compromisos no liquidados, y suministro inoportuno de información al proceso Gestión  Financiera, que no permiten realizar el pago ni constituir cuenta por pagar o reserva presupuestal.</t>
  </si>
  <si>
    <t>Interiorizar las  funciones a los responsables de la supervisión/seguimiento de los actos administrativos, para que adelanten gestiones oportunas y efectivas, tendientes a solucionar las situaciones que originan las vigencias expiradas</t>
  </si>
  <si>
    <t>Remitir a la autoridad disciplinaria competente los casos autorizados como pago por vigencia expirada, para que se inicie las actuaciones disciplinarias a que haya lugar.</t>
  </si>
  <si>
    <t>Porcentaje de Registros de remisión a la autoridad disciplinaria competente</t>
  </si>
  <si>
    <t>En comunicación 5-71.7/378 del 23/06/2023 y Oficio 5-71.7/377 de 2023 la Vicerrectoría Administrativa envió el oficio 5-92.8/376 del 23/06/2023, dirigido a la Profesional especializada Grupo de control Intenro Disciplinario, con el que remite para los fines a que haya lugar, la relación de los casos autorizados como pago por vigencia expirada causadas en la vigencia fiscal 2021.
Igualmente, se evidencia que con oficio 5-52.5/326 del 31/05/2023, dirigido a la Secretaria Técnica del Comite de Conciliación de la Universidad del Cauca, la Vicerrectoría Administrativa, solicita allegar un informe sobre los casos que han sido conciliados por el Comité de Conciliación y fueron remitidos al grupo de Control Interno Disciplinario, para que se iniciaran las actuaciones disciplinarias a que hubieren lugar, en las vigencias 2022 y 2023; el Comité de Conciliación con oficio 2.1-1.68/030 del 14/06/2023, presenta información sobre los casos conciliados por el Comité de Conciliación, vigencias 2022 y 2023.</t>
  </si>
  <si>
    <t>Se evidencia el listado de casos autorizados por pago como vigencia expirada, con tabla que contiene: tercero, identificación del tercero, descripción concepto, nombre supervisor, valor pago por vigencia expirada, resolución por el cual se realiza la adición presupuestal y se autoriza pago por vigencia expirada.</t>
  </si>
  <si>
    <t>Secretaría General
Vicerrector Administrativo</t>
  </si>
  <si>
    <t>Vigencias expiradas y pagos por conciliaciones. (A) (D) A) Al cierre presupuestal de la vigencia 2021, no se autorizó la constitución de reservas presupuestales de compromisos legalmente adquiridos por la entidad, induciendo a pagos por vigencias expiradas, para registros de disponibilidad por $323.924.093, por conceptos como estímulos económicos; tutorías y profesores visitantes y contr</t>
  </si>
  <si>
    <t>Capacitar a los actores académicos, investigadores y administrativos con funciones de supervisión/seguimiento de los actos administrativos, sobre los procesos en los que pueden verse involucrados, en la configuración de vigencias expiradas.</t>
  </si>
  <si>
    <t>Porcentaje de Registros de capacitación.</t>
  </si>
  <si>
    <t>Registro asistencia capacitaciones, Oficios citación capacitaciones, material insumo para las capacitaciones, cronograma de talleres.</t>
  </si>
  <si>
    <t xml:space="preserve">La Vicerrectoría Administrativa, realizó el taller sobre Aspectos Contractuales en las dependencias, en las vicerrectorias y en las facultades de la Universidad del Cauca, en las que se abordaron temas como funciones de supervisión, vigencias futuras, expiradas, reservas presupuestales, cuentas por pagar, hechos cumplidos, anticipos, pago anticipado y la Resolucion R789 de 2022 Por la cual se establece la programación del cierre finanicero y presupuestal
De la revisión a las evidencias presentadas, se determinó el cumplimiento de la actividad, por lo que pasa al 100%. </t>
  </si>
  <si>
    <t>B) Como consecuencia de las fallas en el proceso administrativo de supervisión de los contratos ocasionó que en la vigencia 2021, la Universidad del Cauca realizara 23 pagos mediante la figura de conciliación por $204.178.309, Tabla No. 31. Relación de pagos por conciliación vigencia 2021</t>
  </si>
  <si>
    <t>Errores administrativos y deficiente labor en el seguimiento a las solicitudes de los diferentes actos administrativos, por ejecución de compromisos sin el cumplimiento previo de los requisitos de perfeccionamiento y/o ejecución.</t>
  </si>
  <si>
    <t>Fortalecer el desarrollo de las funciones de seguimiento a las solicitudes de los actos administrativos, de manera que se generen incentivos para que los solicitantes previamente a la ejecución de los compromisos  verifiquen el cumplimiento de los requisitos de perfeccionamiento y/o ejecución aplicables.</t>
  </si>
  <si>
    <t>Capacitar a los diferentes actores académicos (pregrado y posgrado), investigadores y administrativos que tienen a cargo el seguimiento a las solicitudes de los actos administrativos, sobre la configuración de los hechos cumplidos y los procesos en los que pueden verse involucrados los responsables en tales casos.</t>
  </si>
  <si>
    <t>Registro de capacitación</t>
  </si>
  <si>
    <t>2022/10/01</t>
  </si>
  <si>
    <t>Vicerrector Administrativo/ Profesional Especializado División de Gestión del Talento Humano
Vicerrectora Académica
Vicerrector de Investigaciones</t>
  </si>
  <si>
    <t>Conformación del expediente contractual. (A) (OI) De la revisión a la muestra de los expedientes contractuales, carpetas físicas como digitalizadas,  no se encontró soporte documental que evidencie el cumplimiento del objeto contractual en los siguientes contratos: • 6.1-31.3/007 del 10/11/2021, no se evidencia en el expediente la entrega de las camisetas a los estudiantes. • Los expedie</t>
  </si>
  <si>
    <t>No se ha documentado e implementado los instrumentos de control a las series documentales complejas de la Universidad del Cauca.</t>
  </si>
  <si>
    <t>Documentar e implementar instrumentos de control a las series documentales complejas, para preservar la integridad documental en la Universidad del Cauca.</t>
  </si>
  <si>
    <t>Diseñar y normalizar el formato hoja de control para series documentales complejas.</t>
  </si>
  <si>
    <t>Formato normalizado.</t>
  </si>
  <si>
    <t>2022/07/30</t>
  </si>
  <si>
    <t xml:space="preserve">" Hoja de Control Series Complejas, PA-GA-2.1.1-FOR-10, Versión 1 del 28/06/2022
Publicado en el banner del programa Lumen"
</t>
  </si>
  <si>
    <t>Con oficio 5-92.8/965 del 08/09/2022 la Vicerrectoría Administrativa  solicitó al Área de Gestión Documental capacitación para la implementación de la  Hoja de Control Series Complejas. Capacitación realizada el 24/10/2022 según reporte en el registro de asistencia a eventos institucionales.
Adjunta "relación de los contratos con hoja de control", que describe el tipo de contrato, la cantidad de contratos realizados en el II semestre de 2022, y la cantidad de contratos entregados al archivo.</t>
  </si>
  <si>
    <t>Secretaría General - Área de Gestión Documental
Vicerrector Administrativo</t>
  </si>
  <si>
    <t xml:space="preserve"> Elaborar el diagnóstico de los tipos documentales que integran los expedientes contractuales de las vigencia 2021</t>
  </si>
  <si>
    <t>Con oficio 5-71.7/378 del 23/06/2023, envió:
Documento  "DIAGNOSTICO DEL ESTADO DE LOS EXPEDIENTES CONTRACTUALES VIGENCIA 2021" y Anexo 1. Reconstrucción 2020-2021 en Excel
Documento "INFORME 2021":  cuyo objetivo es identificar el estado de los expedientes contractuales vigencia 2021.</t>
  </si>
  <si>
    <t xml:space="preserve">La Vicerrectoría Administrativa - Área de Contratación, elaboró el diagnóstico de los expedientes contractuales vigencia 2021, en el que describe la gestión adelantada para la reconstrucción de los expedientes contractuales, que contiene información requerida para la toma de decisiones por el Comité de Archivo. </t>
  </si>
  <si>
    <t xml:space="preserve">Solicitar a las dependencia los soportes faltantes para completar los expendientes, según el resultado del diagnóstico </t>
  </si>
  <si>
    <t xml:space="preserve">
Con oficio 5-71.7/378 del 23/06/2023 se remite las evidencias que dan cuenta de los requerimientos a las dependencias y/o universitrarios, cuyo asunto se relaciona con la reconstrucción de firmas de los diferentes tipos documentales que conforman los expedientes contractuales de la Vicerrectoría Administrativa, con base en el diagnóstico del estado de los expedientes contractuales 2021, entre ellos: Oficio 5-92.8/1123 de 2022; Correos electrónicos; Oficio 5-92.8/0038 de 2023; Oficio 5-92.8/0198 de 2023; Oficio 5-92.8/0199 de 2023; Oficio 5-92.5/0624 de julio de 2021; Oficio 5-52/638 de agosto de 2021; Oficio 5-92.8/739 de septiembre de 2021; Oficio 5-92.8/979 de septiembre de 2021; Oficio 5-52/125 de febrero de 2022; Oficio 5-52.5/254 de mayo de 2023; Oficio 6.1-52.5/294 de mayo de 2023; correo electrónico - VRI verificación de Contratación Vigencias 2020 y 2021; Correo electrónico- Certificados de pago faltantes Vigencias 2020 y 2021; Correo electrónico - VRI Contratos faltantes Vigencias 2020 y 2021; Correo electrónico - Contratos faltantes vigencias 2020 y 2021</t>
  </si>
  <si>
    <t>La Vicerrectoría Administrativa, requirió los expedientes contractuales con sus respectivas firmas, tipos documentales faltantes, entre otros,  a las instancias y/o universitarios para la reconstrucción del archivo 2021.
Se presentan solicitudes informales, sin aplicación de la respectiva TRD y sin suscribir por el Vicerrector Administrativo.</t>
  </si>
  <si>
    <t>Remitir al Comité de Archivo el informe del estado de los expendientes contractuales, vigencia 2021 con informacion incompleta para las decisiones correspondientes.</t>
  </si>
  <si>
    <t xml:space="preserve">Con Oficio 2.1.1-92.8/195 de 05 de octubre de 2023 el Área de Gestión Documental solictó a la Vicerrectoría Administrativa el Informe Estado Expediente Contractuales vigencia 2021
Con oficio 5-52.5/617 del 3/11/2023, la Vicerrectoría Administrativa remitió el informe del estado de los expedientes contractuales vigencia 2021, para las decisiones correspondientes.
</t>
  </si>
  <si>
    <t>El informe contempla un universo de 1129 expedientes contractuales de la vigencia 2020, de los cuales solamente 239 tienen la totalidad de los tipos documentales, pendientes 890. Entre los documentos faltantes se encuentra: 234 expedientes sin el formato PA-GA-FOR-38 solicitud de contratación, 138 sin el certificado de talento humano, 38 sin la hoja de vida del SIGEP, 160 sin evaluación a proveedores, 371 sin actas de liquidación, 282 sin documentos de pago y 51 carpetas pendientes de entregar.
Se asigna 50% de avance, por la presentación del informe al Comité de Archivo, pendiente la implementación de las decisiones tendientes a la completitud de los tipos documentales de los expedientes contractuales.</t>
  </si>
  <si>
    <t>DIEGO - OLGA VERIFICAR</t>
  </si>
  <si>
    <t>Contrato de obra pública No. 5.5-31.4/025 de 2021. (A) (D) A) En la revisión y comprobación del contrato 5.5-31.4/25 de 2021, de objeto “Suministro e instalación de iluminación exterior con luminarias LED fotovoltaicas para la primera etapa de la ciudadela universitaria en la sede norte Santander de Quilichao de la Universidad del Cauca”, por $179.062.199, suscrito el  30/12/2021, no se</t>
  </si>
  <si>
    <t>Deficiencias en la elaboración de pliegos de condiciones y minutas contractuales.</t>
  </si>
  <si>
    <t>Identificar y fortalecer controles a la elaboración pliegos de condiciones y minutas contractuales.</t>
  </si>
  <si>
    <t>Aclarar el alcance del requisito correspondiente a la presentación del comprobante del pago de la estampilla "Universidad del Cauca 180 años" en pliegos de condiciones y minutas de los contratos.</t>
  </si>
  <si>
    <t>Registro de socialización al Área de Contratación de la Vicerrectoría Administrativa sobre el alcance del requisito correspondiente a la presentación del comprobante del pago de la estampilla "Universidad del Cauca 180 años"  en pliegos de condiciones y minutas de los contratos.</t>
  </si>
  <si>
    <t>Acta 5-1.56 036 del 2022
Acta 5-1.56 040 del 2022</t>
  </si>
  <si>
    <t xml:space="preserve">El Area de contratación de la Vicerrectoría Administrativa, realizó reunión con todo su equipo en la que levantaron el acta n° 5.1-56/036 del 15 de septiembre de 2022, donde se trataron varios temas incluido con el pago de la estampilla Universidad del Cauca 180 años.
Adicionalmente, se realizo reunión con la Oficina Juridica y se socializo el Plan de Mejoramiento CGR 2021, y se trato lo relacionado a alcance del requisito correspondiente a la presentación del comprobante del pago de la estampilla "Universidad del Cauca 180 años"
Se revisó el acta 5-1.56/ 040 del 2022, en la que se evidenció que se efectuó la reunión con la Oficina jurídica, quién conceptuó sobre el tema en la sesión, y con base en ello, se tomaron decisiones respecto del requisito correspondiente a la presentación del comprobante del pago de la estampilla "Universidad del Cauca 180 años" 
Con lo anterior, se constató el cumplimiento de la actividad y se otorgó un avance del 100%. </t>
  </si>
  <si>
    <t>Vicerrector Administrativo
Área de Contratación</t>
  </si>
  <si>
    <t>Estandarizar las cláusulas de los pliegos de condiciones y minutas de los contratos, en los conceptos básicos.</t>
  </si>
  <si>
    <t>Porcentaje de  Cláusulas básicas estandarizadas en pliegos de condiciones y minutas tipo.</t>
  </si>
  <si>
    <t>2023/06/30</t>
  </si>
  <si>
    <t>Con oficio 5-71.7/378 del 23/06/2023, la Vicerrectoría Administrativa envió:
1. Proyecto de Modelo de Minuta de obra (CONTRATO 5.5-31.4/XXX DE 2023)
2. Contrato de obra 5.5-31.4/003 de 2023
3. Pliego de condiciones CP 005 de 2023 (Contruccion de una tulpa Universitaria en la sede Santander de Quilichao de la Universidad del Cauca)</t>
  </si>
  <si>
    <t>La Vicerrctoría Administrativa y la Oficina Juridica elaboraron  los modelos de minuta de obra y pliego de condiciones, los cuales se ha implementado en procesos de contratación de obra, entre ellos el de la construcción de la Tulpa Universitaria (Pliego de condiciones convocatoria 005 de 2023 y Contrato 5.5-31.4/003 de 2023)
Con lo anterior, se constató el cumplimiento de la actividad, paso de 20% a un 100% de avance</t>
  </si>
  <si>
    <t>B) Por otra parte, en el expediente contractual no se encontraron soportes de ejecución de la obra, ni los informes de supervisión e interventoría y del contratista; ni los comprobantes de egreso del anticipo para establecer el avance financiero. No se evidenciaron soportes de la Instalación de vallas informativas de acuerdo con el modelo suministrado por Unicauca, ni la entrega de ensay</t>
  </si>
  <si>
    <t>Deficiencias en el registro periódico del seguimiento que continuamente debe adelantar la supervisión y/o interventoría frente a la ejecución de los contratos.</t>
  </si>
  <si>
    <t>Interiorizar las  funciones a los responsables de la supervisión/interventoría de los contratos, para que de manera periódica adelanten gestiones oportunas y efectivas, orientadas al seguimiento contínuo de la ejecución de los contratos.</t>
  </si>
  <si>
    <t>Capacitar a los actores académicos, investigadores y administrativos con funciones de supervisión/interventoría de los contratos, sobre los procesos en los que pueden verse involucrados en el seguimiento contínuo de la ejecución de los contratos.</t>
  </si>
  <si>
    <t xml:space="preserve">Se evidenció que la Vicerrectoría Administrativa realizó capacitaciones sobre temas como funciones de supervisión, vigencias futuras, expiradas, reservas presupuestales, cuentas por pagar, hechos cumplidos, anticipos, pago anticipado y la Resolución R789 de 2022 por la cual se establece la programación del cierre financiero y presupuestal; determinando el cumplimiento de las actividades, por lo que pasaron al 100% de avance. 
</t>
  </si>
  <si>
    <t>Cuentas de cobro 2019 (A).
Los reportes de cuentas por cobrar y recaudos por cobrar 2019 del SQUID, presentan incongruencias e inoportunidad en el recaudo de cuentas de cobro, sobrestimando saldos en libros de la cuenta 131719 Admón  de Proyectos:
Cuenta de cobro del 14/06/2019 por $5.446.500, documento 014620, Contrato CCD-2018-IN-16-5.5.31.13/001 2018 de SIGLO DEL HOMBRE EDITORES S.A, recaudo del 30/7/2019 y transferida por interfaz el 30-01-2020 en Tesorería, y  en estado cancelada "ca" en Squid.
Cuenta de cobro del 4/06/2019 por $3.481.200, documento 014614, Convenio 035 VRI 2016 Hipertexto Ltda, recaudo el 19/9/2019 transferida por interfaz el 29/02/2020 en Tesorería, y estado cancelada "ca" en Squid.
Cuentas de cobro de CHANNEL PLANET S.A.S, reintegro de anticipo por capacitación no realizada,  No. 014632 del 5/08/2019 por $500.000, 014633 del 5/08/2019 por $500.000, 014634 del 5/08/2019 por $500.000 y 014638 del 14/08/2019 por $526.124, no canceladas en 2019 y más de 90 días por cobrar (...)</t>
  </si>
  <si>
    <t>Situaciones originadas en la parametrización de los sistemas de información de facturación y cartera de la universidad, que no se ajustan a los principios generales de contabilidad pública ni al marco contable para entidades de gobierno y,  por ausencia de seguimiento y control a la gestión de recaudo.</t>
  </si>
  <si>
    <t>En físico.</t>
  </si>
  <si>
    <t>"Con oficio 5-84/0662 del 7/09/2022, la Vicerrectoría Administrativa remitió un diagnóstico con la identificación de conceptos a la fecha, y que se encuentran parametrizados en el sistema, sin embargo, informan que se envió la solicitud de información a diferentes dependencias y facultades, para idfentificar y parametrizar los nuevos conceptos.
Con oficio 5-84/ 0860 del 25/11/2022, la vicerrectoría Administrativa remitió diagnóstico donde identifica los conceptos faltantes por parametrizar.
OCI: En la visita realizada por la OCI el 28/11/2022 a la Técnica Administrativa de Cartera, se evidenció que se realizó el diagnóstico sobre los conceptos que afectan la cuenta deudores, en las diferentes dependencias y facultades de la Institución.
Se evidencia la completitud de la actividad, por lo que se asigna un avance del 100%."</t>
  </si>
  <si>
    <t xml:space="preserve">De acuerdo al compromiso adquirido por la técnica Administrativa de cartera en el seguimiento realizado el 28/11/2022, mediante correo electrónico del mísmo día, se remitió el registro de los conceptos identificados y parametrizados en el sistema, cumpliendo con la totalidad de conceptos remitidos por las dependencias y facultades.
El avance pasó al 100%. </t>
  </si>
  <si>
    <t>Realizar seguimiento a la cuenta deudores.</t>
  </si>
  <si>
    <t xml:space="preserve">La Vicerrectoría Administrativa con oficio 5-71.7/646 del 17/11/2023 remitió las siguientes evidencias: 
1. Oficio 5-84/485 del 25 de octubre de 2023
 2. Carpetas comprimida con evidencias cobro coativo </t>
  </si>
  <si>
    <t>II semestre 2023: Se evidencia el seguimiento que el grupo de Credito de Cartera de la Vicerrectoria Administrativa realizó a la cuenta deudores - servicios académicos, para lo que informan que "del 100% de la cartera catalogada en esta instancia se remite una muestra del 26,79% que demuestra las actuaciones adelantadas para la recuperación de la cartera, en la que se presentan 47 expedientes activos con sus respectivos soportes y por otro lado, otros 50 expedientes que vlidan la gestión efectiva de cobro, dado que se recupera al 100% el valor de la deuda".
En la revisión aleatoria de los soportes remitidos, se evidencian acuerdos de pago, recibos de pago de cuotas y la terminación de los acuerdos de pago por finalización de la deuda. Además, la aplicación de los formatos de seguimiento de cartera- etapa persuasiva- etapa coativa y lista de cjequeo de crédito y cartera, el envío de notificaciones a los deudores, entre otros, con los que se evidencia el seguimiento realizado. 
Con la evidencia de los seguimientos permanentes realizados a los deudores, se da cumplimiento a la actividad en un 100%.</t>
  </si>
  <si>
    <t>La División de Gestión Financiera Con oficio 5-71.7/378 del 23/06/2023, envió las notas de tesorería sobre los ajustes pertinentes, así:
SIGLO DEL HOMBRE EDITORES S.A: D803-202001770 del 30-ENE-2020
HIPERTEXTO LTDA:  D803-202004642 del 29-FEB-2020
CHANNEL PLANET S.A.S: D803-202114928 del 22-JUN-2021, D803-202233560, D803-202233561 y D803-202233563 del 09-SEP-2022</t>
  </si>
  <si>
    <t xml:space="preserve">2023: La División de Gestión Financiera envió las notas de teseorería de los ajustes de corrección realizados a todos los terceros mencionados en el hallazgo de la vigencia 2019, con lo que se da cierre.
Sin embargo,la OCI continuará valorando la permanencia en la mejora en cuanto a los seguimientos permanentes a la cuenta deudores. </t>
  </si>
  <si>
    <t>Legalización de Anticipos (A, D)
Verificado los anticipos de las cuentas contables que se relacionan a continuación, se evidencian saldos con periodo de morosidad superior a 365 días, sin registros de amortización durante la vigencia 2020: Cuenta Contable 1.9.06.01 ANTICIPOS SOBRE CONVENIOS Y ACUERDOS. Presenta anticipos por $5.668.702.584 realizados en vigencias anteriores, los cuales durante la vigencia 2020, no presentan registros de amortizaciones y/o legalizaciones, por diferentes convenios y/o contratos suscritos. Ver tabla N° 23 informe C.G.R.</t>
  </si>
  <si>
    <t>La División de Gestión Financiera con oficio 5.2-52.2/007 del 17/11/2023 remitió: 
1. Concepto jurídico 2.5-24.1/020 del 22 de marzo de 2022 "Reintegro de recursos no ejecutados en convenios"
2. Concepto de la Contaduría General de la Nación 20192000068901 del 02-Feb-2019 "Tratamiento Contable de los avances y anticipos entregados
3. Notas de registro contable de amortización de la cuenta anticipos 
4. Relación de los saldos amortizados
Se realizó sesión del Comité de Sostenibilidad Contable el día 15/12/2023, como consta en acta 5.2-1.84/003 de la misma fecha, punto 3.</t>
  </si>
  <si>
    <t xml:space="preserve">II semestre 2023: De la revisión a las notas de amortización se evidencia que permanece el 91% de avance alcanzado en el seguimiento del primer semestre 2023. 
De otra parte, la División de Gestión Financiera informa que "se presentan dificultades en la recopilación de soportes que permitan la amortización de los terceros objeto del hallazgo.Pendiente informes por parte del supervisor de la terminación de los proyectos, realizados en el marco del proyecto ID 3848 RED DE FORMACIÓN DEL TALENTO HUMANO DESTINO 1037003, en la unidad 04 Sistema de Regalías"
En la sesión del Comité de Sostenibilidad Contable del 15/12/2023, se trató sobre los inconvenientes para liquidar los convenios, acordando "Programar reunión con las áreas competentes, tendientes a adelantar las gestiones administrativas para la depuración de las cifras contenidas en los anticipos entregados en vigencias anteriores pendientes de legalizar"
Por lo anterior, el avance permanece en 91%, sujeto a la amortización de la totalidad de saldos, de acuerdo con las decisiones del comité. </t>
  </si>
  <si>
    <t>Legalización de Anticipos (A, D) Verificado los anticipos de las cuentas contables que se relacionan a continuación, se evidencian saldos con periodo de morosidad superior a 365 días, sin registros de amortización durante la vigencia 2020: Cuenta Contable 1.9.06.01 ANTICIPOS SOBRE CONVENIOS Y ACUERDOS. Presenta anticipos por $5.668.702.584 realizados en vigencias anteriores, los cuales durante la vigencia 2020, no presentan registros de amortizaciones y/o legalizaciones, por diferentes convenios y/o contratos suscritos. Ver tabla N° 23 informe C.G.R.</t>
  </si>
  <si>
    <t>La División de Gestión Financiera con oficio 5.2-52.2/007 del 17/11/2023 remitió las siguientes evidencias: 
1. Procedimiento Egresos Presupuestales PA-GA 5.2-PR-6, versión 7 del 30/10/2023</t>
  </si>
  <si>
    <t>Cuenta Contable 1.9.06.04 ANTICIPOS PARA ADQUISICIÓN DE BIENES Y SERVICIOS. Presenta anticipos por $421.815.499 realizados en vigencias anteriores, los cuales durante el año 2020 no presentan registros de amortizaciones y/o legalizaciones, por diferentes convenios y/o contratos suscritos. Ver tablas N° 23, 25 y 26 del informe C.G.R.</t>
  </si>
  <si>
    <t>La División de Gestión Financiera con oficio 5.2-52.2/007 del 17/11/2023 informó que de treinta y un (31) terceros, logro realizar seguimiento y depuración a 17 terceros equivalentes a $ 119.150.189, que significan en terminos de numero de terceros el 54,84% de avance.
En la respuesta de la División de Gestión Financiera se relacionan las siguientes Notas de amortización: 
 -Amortización según D900-202100035 13-07-2021 por $1.868.946
-Amortización según D653-202100037 29-12-2021 por $38.707.816
-Amortización según D653-202100025 26-07-2021 por $11.017.481
-Amortización según D924-202300304 01-05-2023 por $4.430.000
-Amortización según A902-202100006 06-04-2021 por $50.000
-Amortización según D653-202100042 31-12-2021 por $8.883.651
-Amortización según I901-202100002 01-02-2021 por $328.000
-Amortización según A806-202100001 01-05-2021 por $124.992
-Amortización según D901-202100072 30-04-2021 por $110.000
-Amortización según D901-202100068 26-04-2021 por $150.000
-Amortización según D902-202100026 26-04-2021 por $20.000
-Amortización según D901-202100077 11-05-2021 por $3.550.154
-Amortización según I900-202100007 14-05-2021 por $395.000
-Amortización según D653-202100026 05-08-2021 por $22.586.146
-Amortización según D653-202100047 31-12-2021 por $16.740.000
-Amortización según D924-202300353 22-05-2023 por $5.178.003
-Amortización según D901-202100069 26-04-2021 por $450.000
-Amortización según D924- 202300299 01-05-2023 por $3.960.000
-Amortización según D924- 202200266 31-08-2022 por $600.000
De la relación se adjuntan las siguientes notas de contabilidad: D924- 202300299 del 01/05/2023, D924- 202300304 del 01/05/2023, D924-202300353 del 22/05/2023</t>
  </si>
  <si>
    <t xml:space="preserve">II semestre 2023: Se verifica que de treinta y un (31) terceros se logro realizar seguimiento y depuración a 17, por lo que se asigna un avance del 55%, el porcentaje restante se sujeta al ajuste de la totalidad de saldos. </t>
  </si>
  <si>
    <t>La División de Gestión Financiera con oficio 5.2-52.2/007 del 17/11/2023 remitió las siguientes evidencias: 
1. Procedimiento PA-GA 5.2-PR-6, Egresos Presupuestales versión 7 del 30/10/2023</t>
  </si>
  <si>
    <t>N°</t>
  </si>
  <si>
    <t>PM</t>
  </si>
  <si>
    <t>Responsable</t>
  </si>
  <si>
    <t>% Avance por Actividad -</t>
  </si>
  <si>
    <t>Incumplidos</t>
  </si>
  <si>
    <t>Total Actividades</t>
  </si>
  <si>
    <t>Comparativo</t>
  </si>
  <si>
    <t>% de avance Satisfactorio &lt;100%</t>
  </si>
  <si>
    <t>% de avance Satisfactorio 100%</t>
  </si>
  <si>
    <t>100-80</t>
  </si>
  <si>
    <t>79-50</t>
  </si>
  <si>
    <t>49-30</t>
  </si>
  <si>
    <t>29-0</t>
  </si>
  <si>
    <t>Dic-21</t>
  </si>
  <si>
    <t>Dic-22</t>
  </si>
  <si>
    <t>Dic-23</t>
  </si>
  <si>
    <t>Posgrados</t>
  </si>
  <si>
    <t>Comisiones Académicas</t>
  </si>
  <si>
    <t>Evaluación Docente</t>
  </si>
  <si>
    <t>Comisión de Estudios</t>
  </si>
  <si>
    <t>Estímulos económicos</t>
  </si>
  <si>
    <t>Unidad de Salud</t>
  </si>
  <si>
    <t>División de Gestión del Talento Humano</t>
  </si>
  <si>
    <t>SGSST</t>
  </si>
  <si>
    <t>Gestión Administrativa y Financiera</t>
  </si>
  <si>
    <t>-</t>
  </si>
  <si>
    <t xml:space="preserve">Mantenimiento </t>
  </si>
  <si>
    <t>Área Mantenimiento</t>
  </si>
  <si>
    <t>Control Interno Contable</t>
  </si>
  <si>
    <t>División de Gestión Financiera</t>
  </si>
  <si>
    <t>Matrícula Financiera</t>
  </si>
  <si>
    <t>Vicerrectoría  Administrativa- División Financiera</t>
  </si>
  <si>
    <t>Calificación</t>
  </si>
  <si>
    <t>Rango</t>
  </si>
  <si>
    <t>N° Planes</t>
  </si>
  <si>
    <t>Cerrados</t>
  </si>
  <si>
    <t>Legalización Avances</t>
  </si>
  <si>
    <t>Sobresaliente</t>
  </si>
  <si>
    <t>[80-100%]</t>
  </si>
  <si>
    <t>Estampilla</t>
  </si>
  <si>
    <t>Aceptable</t>
  </si>
  <si>
    <t>[50-79%]</t>
  </si>
  <si>
    <t>Bienestar Universitario</t>
  </si>
  <si>
    <t xml:space="preserve">Inaceptable </t>
  </si>
  <si>
    <t>[30-49%]</t>
  </si>
  <si>
    <t xml:space="preserve">Reliquidación Matricula </t>
  </si>
  <si>
    <t>División de Admisiones Registro y Contro Académico</t>
  </si>
  <si>
    <t xml:space="preserve">CrÍtico </t>
  </si>
  <si>
    <t>[0-29%]</t>
  </si>
  <si>
    <t>Gestión Ambiental</t>
  </si>
  <si>
    <t>TOTAL</t>
  </si>
  <si>
    <t>Registro de Notas</t>
  </si>
  <si>
    <t xml:space="preserve">Transporte </t>
  </si>
  <si>
    <t>Área Seguridad</t>
  </si>
  <si>
    <t>Archivo Histórico</t>
  </si>
  <si>
    <t>BALANCE GENERAL</t>
  </si>
  <si>
    <t>Evaluación Proveedores</t>
  </si>
  <si>
    <t>PDI</t>
  </si>
  <si>
    <t>Presupuesto</t>
  </si>
  <si>
    <t>CECAV</t>
  </si>
  <si>
    <t>Plan de Mejoramiento</t>
  </si>
  <si>
    <t>Avance diciembre 2023</t>
  </si>
  <si>
    <t>Nivel crítico</t>
  </si>
  <si>
    <t>Nivel aceptable</t>
  </si>
  <si>
    <t>Nivel sobresaliente</t>
  </si>
  <si>
    <t>Nivel estandar o meta</t>
  </si>
  <si>
    <t>nivel aceptable</t>
  </si>
  <si>
    <t xml:space="preserve">Umbral mínimo </t>
  </si>
  <si>
    <t>Promedio seguimiento anterior</t>
  </si>
  <si>
    <t>Talento Humano UNISALUD</t>
  </si>
  <si>
    <t>Mantenimiento</t>
  </si>
  <si>
    <t>Reguistro de Notas</t>
  </si>
  <si>
    <t xml:space="preserve">Reliquidacion Matricula </t>
  </si>
  <si>
    <t>VIGENCIA</t>
  </si>
  <si>
    <t xml:space="preserve">Numero de Hallazgos </t>
  </si>
  <si>
    <t>Sobresaliente
80% - 100%</t>
  </si>
  <si>
    <t>Aceptable 
50% - 79%</t>
  </si>
  <si>
    <t>Inaceptable 30% - 49%</t>
  </si>
  <si>
    <t>Critico 
&lt;29</t>
  </si>
  <si>
    <t>Total Activas</t>
  </si>
  <si>
    <t>% Activas Cumplidas</t>
  </si>
  <si>
    <t>Promedio DIC 2022-2</t>
  </si>
  <si>
    <t>Promedio JUN 2023-1</t>
  </si>
  <si>
    <t>Promedio DIC 2023-2</t>
  </si>
  <si>
    <t>Auditoría 2019</t>
  </si>
  <si>
    <t>Auditoría 2020</t>
  </si>
  <si>
    <t>Auditoría 2021</t>
  </si>
  <si>
    <t>Total</t>
  </si>
  <si>
    <t>Nº</t>
  </si>
  <si>
    <t>Año</t>
  </si>
  <si>
    <t>Proceso Responsable</t>
  </si>
  <si>
    <t>Dependencia Responsable</t>
  </si>
  <si>
    <t>Fecha de Inicio</t>
  </si>
  <si>
    <t>Fecha Vencimiento</t>
  </si>
  <si>
    <t>Porcentaje de Avance 2023-2</t>
  </si>
  <si>
    <t>Porcentaje de Cumplimiento 2023-2</t>
  </si>
  <si>
    <t>Efectividad 2023-2</t>
  </si>
  <si>
    <t>Fecha último seguimiento</t>
  </si>
  <si>
    <t>Estado</t>
  </si>
  <si>
    <t>Observación</t>
  </si>
  <si>
    <t>Cierre oficial</t>
  </si>
  <si>
    <t>Responsable
del Seguimiento</t>
  </si>
  <si>
    <t>Gestión Académica</t>
  </si>
  <si>
    <t>Diego Huamán</t>
  </si>
  <si>
    <t>Comisión Académicas</t>
  </si>
  <si>
    <t xml:space="preserve">Comisión de estudios </t>
  </si>
  <si>
    <t>Estímulos Académicos</t>
  </si>
  <si>
    <t>Talento Humano 2022</t>
  </si>
  <si>
    <t>Miguel Rosales</t>
  </si>
  <si>
    <t>Universidad del Cauca</t>
  </si>
  <si>
    <t xml:space="preserve">Plan de Mantenimiento </t>
  </si>
  <si>
    <t>Cerrado</t>
  </si>
  <si>
    <t>Mabel Urbano</t>
  </si>
  <si>
    <t>Vicerrectoría Administrativa -División de Gestión Financiera- DARCA</t>
  </si>
  <si>
    <t>División de Gestión Financiera - OPDI</t>
  </si>
  <si>
    <t>Legalización avances</t>
  </si>
  <si>
    <t>Gestión Estratégica y Gestión Administrativa y Financiera</t>
  </si>
  <si>
    <t>Vicerrectoría Administrativa - OPDI</t>
  </si>
  <si>
    <t>Gestión de Cultura y Bienestar</t>
  </si>
  <si>
    <t xml:space="preserve">Bienestar Universitario </t>
  </si>
  <si>
    <t>Diego Huaman</t>
  </si>
  <si>
    <t xml:space="preserve">Division de Gestion de Salud Iintegral y Desarrollo Humano </t>
  </si>
  <si>
    <t>Gestión de la Calidad</t>
  </si>
  <si>
    <t>Centro de Gestión de la Calidad</t>
  </si>
  <si>
    <t>30/12/223</t>
  </si>
  <si>
    <t>Artchivo Histórico</t>
  </si>
  <si>
    <t xml:space="preserve">Archivo Histórico </t>
  </si>
  <si>
    <t>Archivo histórico</t>
  </si>
  <si>
    <t>Olga Lucía Camacho</t>
  </si>
  <si>
    <t xml:space="preserve">Auditorías CGR 2018 </t>
  </si>
  <si>
    <t>30/12/2022</t>
  </si>
  <si>
    <t>Equipo OCI</t>
  </si>
  <si>
    <t>Auditorías CGR 2019</t>
  </si>
  <si>
    <t>Auditoría financiera CGR 2020</t>
  </si>
  <si>
    <t>Auditoría financiera CGR 2021</t>
  </si>
  <si>
    <t>2022-2</t>
  </si>
  <si>
    <t>2023-1</t>
  </si>
  <si>
    <t>2023-2</t>
  </si>
  <si>
    <t>Promedio avance PM internos</t>
  </si>
  <si>
    <t>Rangos de  Calificación de los Avances  en el  Cumplimiento</t>
  </si>
  <si>
    <t>Promedio avance PM CGR</t>
  </si>
  <si>
    <t xml:space="preserve"> Satisfactorio</t>
  </si>
  <si>
    <t>80% - 100%</t>
  </si>
  <si>
    <t>50% - 79%</t>
  </si>
  <si>
    <t>Inaceptable</t>
  </si>
  <si>
    <t>30% -49%</t>
  </si>
  <si>
    <t>Crìtico</t>
  </si>
  <si>
    <t>0% y 29%</t>
  </si>
  <si>
    <t xml:space="preserve">PLANES DE MEJORAMIENTO EN EJECUCIÓN </t>
  </si>
  <si>
    <t xml:space="preserve">Plan de Mejoramiento </t>
  </si>
  <si>
    <t>Fecha de Seguimiento</t>
  </si>
  <si>
    <t xml:space="preserve">Responsable seguimiento </t>
  </si>
  <si>
    <t xml:space="preserve">Convenciones </t>
  </si>
  <si>
    <t>Evaluación al Procedimiento de Cesión de Bienes a Titulo Gratuito</t>
  </si>
  <si>
    <t>Kevin - Deysi Potosí</t>
  </si>
  <si>
    <t>Incluir avances reportados en el PM CGR</t>
  </si>
  <si>
    <t>Sin seguimiento</t>
  </si>
  <si>
    <t>La Aplicación del Acuerdo No.  085 de 2008</t>
  </si>
  <si>
    <t xml:space="preserve">Deysi Potosí - Olga Lucía </t>
  </si>
  <si>
    <t>Pendiente otro informe de seguimiento</t>
  </si>
  <si>
    <t xml:space="preserve">Realizado </t>
  </si>
  <si>
    <t>Movilidad y Seguridad</t>
  </si>
  <si>
    <t xml:space="preserve">Diego Huaman - Kevin </t>
  </si>
  <si>
    <t xml:space="preserve">Revisar avance reportado por Maribel y programar seguimiento. </t>
  </si>
  <si>
    <t>Pendiente consolidar y articular información</t>
  </si>
  <si>
    <t>Procesos Disciplinarios</t>
  </si>
  <si>
    <t>Miguel Ángel</t>
  </si>
  <si>
    <t>Monitorías</t>
  </si>
  <si>
    <t>Plan de Compras</t>
  </si>
  <si>
    <t xml:space="preserve">Kevin - Olga Lucía - Deysi </t>
  </si>
  <si>
    <t>Año Sabático</t>
  </si>
  <si>
    <t>03/09 - 07/09/2018</t>
  </si>
  <si>
    <t>Miguel Ángel - Kevin Robinson</t>
  </si>
  <si>
    <t>Pendiente oficio seguimiento</t>
  </si>
  <si>
    <t>CGR 2014-2015</t>
  </si>
  <si>
    <t>Kevin - Olga Lucía</t>
  </si>
  <si>
    <t>Asistencial Unidad de Salud</t>
  </si>
  <si>
    <t xml:space="preserve">Miguel Ángel y María Luisa </t>
  </si>
  <si>
    <t>PQRSF</t>
  </si>
  <si>
    <t xml:space="preserve">Posgrados </t>
  </si>
  <si>
    <t>12 y 13 09/2018</t>
  </si>
  <si>
    <t xml:space="preserve">Miguel Ángel - María Luisa </t>
  </si>
  <si>
    <t>Ekogui</t>
  </si>
  <si>
    <t xml:space="preserve">Miguel Ángel </t>
  </si>
  <si>
    <t xml:space="preserve">Alexander Certuche </t>
  </si>
  <si>
    <t xml:space="preserve">Pendiente reporte de Alexander basado en el informe del ICI Contable. </t>
  </si>
  <si>
    <t xml:space="preserve">PLANES DE MEJORAMIENTO EN FORMULACIÓN </t>
  </si>
  <si>
    <t xml:space="preserve">Pendientes suscripción </t>
  </si>
  <si>
    <t xml:space="preserve">Responsable OCI </t>
  </si>
  <si>
    <t xml:space="preserve">Vicerrectoría Cultura y Bienestar </t>
  </si>
  <si>
    <t xml:space="preserve">Kevin Robinson y Deysi Potosí </t>
  </si>
  <si>
    <t xml:space="preserve">Deysi Potosí y Diego Huaman  </t>
  </si>
  <si>
    <t xml:space="preserve">Vicerrectoría Académica </t>
  </si>
  <si>
    <t>Miguel Ángel - María Luisa</t>
  </si>
  <si>
    <t>Selección Docentes</t>
  </si>
  <si>
    <t xml:space="preserve">Contratación </t>
  </si>
  <si>
    <t xml:space="preserve">Vicerrectoría Administrativa </t>
  </si>
  <si>
    <t>Transporte</t>
  </si>
  <si>
    <t xml:space="preserve">Alexander y Olga Lucía </t>
  </si>
  <si>
    <t xml:space="preserve">Fecha </t>
  </si>
  <si>
    <t>Hora</t>
  </si>
  <si>
    <t>Kevin – Diego</t>
  </si>
  <si>
    <t>12/11/2019</t>
  </si>
  <si>
    <t xml:space="preserve">Observación </t>
  </si>
  <si>
    <t>Comisión estudios
Evaluación docente
Selección docente
Posgrados</t>
  </si>
  <si>
    <t>Miguel - Diego</t>
  </si>
  <si>
    <t>Monitorias</t>
  </si>
  <si>
    <t xml:space="preserve">Diego </t>
  </si>
  <si>
    <t xml:space="preserve">Oficio 2.6-52.18/113 del 06/03/2019. </t>
  </si>
  <si>
    <t>eKogui - comisión estudio</t>
  </si>
  <si>
    <t>Miguel</t>
  </si>
  <si>
    <t>Unidad de Salud y TH</t>
  </si>
  <si>
    <t>Deysi - Miguel</t>
  </si>
  <si>
    <r>
      <t xml:space="preserve">Se hará seguimiento sin la formulación, sobre cada hallazgo. Vencido plazo de formulación 31/10/2019.  </t>
    </r>
    <r>
      <rPr>
        <b/>
        <sz val="10"/>
        <rFont val="Arial"/>
        <family val="2"/>
      </rPr>
      <t xml:space="preserve">Miguel enviar nota. </t>
    </r>
  </si>
  <si>
    <t>Centro de Posgrados.</t>
  </si>
  <si>
    <t xml:space="preserve">El 12/11/2019 remitirán propuesta a OCI. </t>
  </si>
  <si>
    <t xml:space="preserve">Control interno contable </t>
  </si>
  <si>
    <t xml:space="preserve">Camilo - Deysi </t>
  </si>
  <si>
    <t xml:space="preserve">Miguel - </t>
  </si>
  <si>
    <t xml:space="preserve">2.6-52.18/439 del 22/10/2019 último requerimiento sin respuesta de formulación PM. </t>
  </si>
  <si>
    <t xml:space="preserve">Deysi - Camilo </t>
  </si>
  <si>
    <t>5.</t>
  </si>
  <si>
    <t>Estimulos económicos</t>
  </si>
  <si>
    <t xml:space="preserve">Viceacadémica </t>
  </si>
  <si>
    <t xml:space="preserve">El 12/11/2019 la OCI asesorará en la metodología de formulación. </t>
  </si>
  <si>
    <t>Contratación</t>
  </si>
  <si>
    <t xml:space="preserve"> Kevin - Diego</t>
  </si>
  <si>
    <t xml:space="preserve">Se otorgó plazo hasta el 01/11/2019. </t>
  </si>
  <si>
    <t xml:space="preserve">Disciplinarios. </t>
  </si>
  <si>
    <t>Kevin - Diego</t>
  </si>
  <si>
    <t>Estampillas</t>
  </si>
  <si>
    <t xml:space="preserve">Camilo </t>
  </si>
  <si>
    <t xml:space="preserve">Se envío para formulación. </t>
  </si>
  <si>
    <t xml:space="preserve">PDI. </t>
  </si>
  <si>
    <t>Olga - Deysi - Diego</t>
  </si>
  <si>
    <t>PAA</t>
  </si>
  <si>
    <t xml:space="preserve">Vicerrectoría Administrativa. </t>
  </si>
  <si>
    <t>Acreditación programas académicos</t>
  </si>
  <si>
    <t xml:space="preserve">Diego - Kevin </t>
  </si>
  <si>
    <t>Cafeterías</t>
  </si>
  <si>
    <t xml:space="preserve">Salud Integral </t>
  </si>
  <si>
    <t xml:space="preserve">Kevin </t>
  </si>
  <si>
    <t xml:space="preserve">Último requerimiento oficio 2.6-52.18/446 del 29/10/2019. </t>
  </si>
  <si>
    <t>Kevin</t>
  </si>
  <si>
    <t>Kevin - Olga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</si>
</sst>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 #,##0_-;_-* &quot;-&quot;_-;_-@_-"/>
    <numFmt numFmtId="165" formatCode="dd/mm/yyyy;@"/>
    <numFmt numFmtId="166" formatCode="0.0"/>
    <numFmt numFmtId="167" formatCode="yyyy/mm/dd"/>
    <numFmt numFmtId="168" formatCode="[$-F400]h:mm:ss\ AM/PM"/>
  </numFmts>
  <fonts count="100">
    <font>
      <sz val="10"/>
      <name val="Arial"/>
    </font>
    <font>
      <sz val="11"/>
      <color theme="1"/>
      <name val="Calibri"/>
      <family val="2"/>
      <scheme val="minor"/>
    </font>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b/>
      <sz val="10"/>
      <name val="Arial"/>
      <family val="2"/>
    </font>
    <font>
      <b/>
      <sz val="8"/>
      <color indexed="81"/>
      <name val="Tahoma"/>
      <family val="2"/>
    </font>
    <font>
      <sz val="8"/>
      <color indexed="81"/>
      <name val="Tahoma"/>
      <family val="2"/>
    </font>
    <font>
      <b/>
      <sz val="11"/>
      <color theme="0"/>
      <name val="Calibri"/>
      <family val="2"/>
      <scheme val="minor"/>
    </font>
    <font>
      <b/>
      <sz val="12"/>
      <name val="Arial Narrow"/>
      <family val="2"/>
    </font>
    <font>
      <b/>
      <sz val="12"/>
      <name val="Arial"/>
      <family val="2"/>
    </font>
    <font>
      <b/>
      <sz val="14"/>
      <name val="Arial Narrow"/>
      <family val="2"/>
    </font>
    <font>
      <b/>
      <sz val="9"/>
      <color indexed="81"/>
      <name val="Tahoma"/>
      <family val="2"/>
    </font>
    <font>
      <sz val="9"/>
      <color indexed="81"/>
      <name val="Tahoma"/>
      <family val="2"/>
    </font>
    <font>
      <b/>
      <sz val="11"/>
      <name val="Arial"/>
      <family val="2"/>
    </font>
    <font>
      <sz val="8"/>
      <name val="Arial"/>
      <family val="2"/>
    </font>
    <font>
      <sz val="11"/>
      <name val="Arial"/>
      <family val="2"/>
    </font>
    <font>
      <u/>
      <sz val="10"/>
      <color theme="10"/>
      <name val="Arial"/>
      <family val="2"/>
    </font>
    <font>
      <sz val="12"/>
      <color theme="1"/>
      <name val="Arial Narrow"/>
      <family val="2"/>
    </font>
    <font>
      <sz val="11"/>
      <color theme="1"/>
      <name val="Arial"/>
      <family val="2"/>
    </font>
    <font>
      <b/>
      <sz val="11"/>
      <color theme="1"/>
      <name val="Arial"/>
      <family val="2"/>
    </font>
    <font>
      <b/>
      <sz val="10"/>
      <color rgb="FF00B050"/>
      <name val="Arial"/>
      <family val="2"/>
    </font>
    <font>
      <u/>
      <sz val="11"/>
      <color theme="10"/>
      <name val="Calibri"/>
      <family val="2"/>
      <scheme val="minor"/>
    </font>
    <font>
      <b/>
      <sz val="11"/>
      <color rgb="FFFFFFFF"/>
      <name val="Calibri"/>
      <family val="2"/>
      <charset val="1"/>
    </font>
    <font>
      <sz val="11"/>
      <color rgb="FF000000"/>
      <name val="Arial"/>
      <family val="2"/>
    </font>
    <font>
      <b/>
      <sz val="14"/>
      <color theme="1"/>
      <name val="Arial Narrow"/>
      <family val="2"/>
    </font>
    <font>
      <b/>
      <sz val="12"/>
      <color theme="1"/>
      <name val="Arial Narrow"/>
      <family val="2"/>
    </font>
    <font>
      <u/>
      <sz val="11"/>
      <color theme="10"/>
      <name val="Arial"/>
      <family val="2"/>
    </font>
    <font>
      <b/>
      <sz val="12"/>
      <color rgb="FFFF0000"/>
      <name val="Arial"/>
      <family val="2"/>
    </font>
    <font>
      <sz val="10"/>
      <color rgb="FF000000"/>
      <name val="Arial"/>
      <family val="2"/>
    </font>
    <font>
      <b/>
      <sz val="16"/>
      <name val="Arial"/>
      <family val="2"/>
    </font>
    <font>
      <b/>
      <sz val="16"/>
      <name val="Arial Narrow"/>
      <family val="2"/>
    </font>
    <font>
      <i/>
      <sz val="10"/>
      <color theme="1"/>
      <name val="Arial"/>
      <family val="2"/>
    </font>
    <font>
      <sz val="11"/>
      <color indexed="8"/>
      <name val="Arial"/>
      <family val="2"/>
    </font>
    <font>
      <sz val="10"/>
      <name val="Arial"/>
      <family val="2"/>
    </font>
    <font>
      <b/>
      <sz val="12"/>
      <color rgb="FFFFFFFF"/>
      <name val="Arial Narrow"/>
      <family val="2"/>
    </font>
    <font>
      <sz val="12"/>
      <color rgb="FFFFFFFF"/>
      <name val="Arial Narrow"/>
      <family val="2"/>
    </font>
    <font>
      <b/>
      <sz val="11"/>
      <color theme="0"/>
      <name val="Arial"/>
      <family val="2"/>
    </font>
    <font>
      <sz val="11"/>
      <color theme="0"/>
      <name val="Arial"/>
      <family val="2"/>
    </font>
    <font>
      <u/>
      <sz val="10"/>
      <color theme="10"/>
      <name val="Arial"/>
      <family val="2"/>
    </font>
    <font>
      <b/>
      <sz val="11"/>
      <color rgb="FFFF0000"/>
      <name val="Arial"/>
      <family val="2"/>
    </font>
    <font>
      <sz val="11"/>
      <color rgb="FFFFFFFF"/>
      <name val="Arial"/>
      <family val="2"/>
    </font>
    <font>
      <u/>
      <sz val="11"/>
      <color theme="1"/>
      <name val="Arial"/>
      <family val="2"/>
    </font>
    <font>
      <b/>
      <sz val="11"/>
      <color rgb="FFFFFFFF"/>
      <name val="Arial"/>
      <family val="2"/>
    </font>
    <font>
      <sz val="10"/>
      <color theme="1"/>
      <name val="Arial Narrow"/>
      <family val="2"/>
    </font>
    <font>
      <sz val="9"/>
      <color theme="1"/>
      <name val="Arial Narrow"/>
      <family val="2"/>
    </font>
    <font>
      <i/>
      <sz val="11"/>
      <color theme="1"/>
      <name val="Arial"/>
      <family val="2"/>
    </font>
    <font>
      <vertAlign val="superscript"/>
      <sz val="11"/>
      <color rgb="FF000000"/>
      <name val="Arial"/>
      <family val="2"/>
    </font>
    <font>
      <sz val="11"/>
      <color theme="3" tint="-0.249977111117893"/>
      <name val="Arial"/>
      <family val="2"/>
    </font>
    <font>
      <b/>
      <sz val="11"/>
      <color theme="3" tint="-0.249977111117893"/>
      <name val="Arial"/>
      <family val="2"/>
    </font>
    <font>
      <b/>
      <u/>
      <sz val="11"/>
      <color theme="0"/>
      <name val="Arial"/>
      <family val="2"/>
    </font>
    <font>
      <sz val="10"/>
      <color rgb="FF444444"/>
      <name val="Arial"/>
      <family val="2"/>
    </font>
    <font>
      <b/>
      <sz val="12"/>
      <color theme="0"/>
      <name val="Arial Narrow"/>
      <family val="2"/>
    </font>
    <font>
      <sz val="11"/>
      <color theme="7" tint="-0.249977111117893"/>
      <name val="Arial"/>
      <family val="2"/>
    </font>
    <font>
      <sz val="11"/>
      <color rgb="FF000000"/>
      <name val="Arial"/>
    </font>
    <font>
      <b/>
      <sz val="11"/>
      <color rgb="FF00B0F0"/>
      <name val="Arial"/>
      <family val="2"/>
    </font>
    <font>
      <sz val="12"/>
      <color rgb="FF000000"/>
      <name val="Arial Narrow"/>
      <family val="2"/>
    </font>
    <font>
      <sz val="11"/>
      <color theme="1"/>
      <name val="Arial Narrow"/>
      <family val="2"/>
    </font>
    <font>
      <b/>
      <sz val="11"/>
      <color rgb="FF000000"/>
      <name val="Arial"/>
    </font>
    <font>
      <sz val="10"/>
      <color rgb="FF000000"/>
      <name val="Arial"/>
    </font>
    <font>
      <sz val="12"/>
      <name val="Arial Narrow"/>
      <charset val="1"/>
    </font>
    <font>
      <sz val="12"/>
      <color rgb="FF000000"/>
      <name val="Arial Narrow"/>
      <charset val="1"/>
    </font>
    <font>
      <sz val="12"/>
      <color rgb="FF000000"/>
      <name val="Arial Narrow"/>
    </font>
    <font>
      <sz val="10"/>
      <color rgb="FF000000"/>
      <name val="Arial Narrow"/>
      <family val="2"/>
    </font>
    <font>
      <sz val="9"/>
      <color rgb="FF000000"/>
      <name val="Arial Narrow"/>
      <family val="2"/>
    </font>
    <font>
      <u/>
      <sz val="10"/>
      <color rgb="FF000000"/>
      <name val="Arial"/>
      <family val="2"/>
    </font>
    <font>
      <sz val="11"/>
      <color rgb="FF000000"/>
      <name val="Calibri"/>
      <family val="2"/>
      <charset val="1"/>
    </font>
    <font>
      <b/>
      <u/>
      <sz val="11"/>
      <color rgb="FF000000"/>
      <name val="Arial"/>
      <family val="2"/>
    </font>
    <font>
      <b/>
      <sz val="11"/>
      <color rgb="FF000000"/>
      <name val="Arial"/>
      <family val="2"/>
    </font>
  </fonts>
  <fills count="51">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rgb="FFFFFF00"/>
        <bgColor indexed="64"/>
      </patternFill>
    </fill>
    <fill>
      <patternFill patternType="solid">
        <fgColor indexed="53"/>
        <bgColor indexed="64"/>
      </patternFill>
    </fill>
    <fill>
      <patternFill patternType="solid">
        <fgColor indexed="10"/>
        <bgColor indexed="64"/>
      </patternFill>
    </fill>
    <fill>
      <patternFill patternType="solid">
        <fgColor theme="4" tint="-0.499984740745262"/>
        <bgColor indexed="64"/>
      </patternFill>
    </fill>
    <fill>
      <patternFill patternType="solid">
        <fgColor rgb="FFA5A5A5"/>
      </patternFill>
    </fill>
    <fill>
      <patternFill patternType="solid">
        <fgColor rgb="FF92D050"/>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rgb="FF00B0F0"/>
        <bgColor indexed="64"/>
      </patternFill>
    </fill>
    <fill>
      <patternFill patternType="solid">
        <fgColor indexed="9"/>
      </patternFill>
    </fill>
    <fill>
      <patternFill patternType="solid">
        <fgColor theme="4" tint="0.39997558519241921"/>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FFFFFF"/>
        <bgColor indexed="64"/>
      </patternFill>
    </fill>
    <fill>
      <patternFill patternType="solid">
        <fgColor rgb="FFFFFFFF"/>
        <bgColor rgb="FFFFFFFF"/>
      </patternFill>
    </fill>
    <fill>
      <patternFill patternType="solid">
        <fgColor rgb="FFA5A5A5"/>
        <bgColor rgb="FFBFBFBF"/>
      </patternFill>
    </fill>
    <fill>
      <patternFill patternType="solid">
        <fgColor rgb="FFFFC000"/>
        <bgColor indexed="64"/>
      </patternFill>
    </fill>
    <fill>
      <patternFill patternType="solid">
        <fgColor theme="4"/>
        <bgColor indexed="64"/>
      </patternFill>
    </fill>
    <fill>
      <patternFill patternType="solid">
        <fgColor rgb="FF00206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theme="8" tint="0.59999389629810485"/>
        <bgColor indexed="64"/>
      </patternFill>
    </fill>
    <fill>
      <patternFill patternType="solid">
        <fgColor rgb="FFFFFFFF"/>
        <bgColor rgb="FF000000"/>
      </patternFill>
    </fill>
    <fill>
      <patternFill patternType="solid">
        <fgColor rgb="FFDDEBF7"/>
        <bgColor rgb="FF000000"/>
      </patternFill>
    </fill>
    <fill>
      <patternFill patternType="solid">
        <fgColor rgb="FFE2EFDA"/>
        <bgColor rgb="FF000000"/>
      </patternFill>
    </fill>
    <fill>
      <patternFill patternType="solid">
        <fgColor rgb="FFFCE4D6"/>
        <bgColor rgb="FF000000"/>
      </patternFill>
    </fill>
    <fill>
      <patternFill patternType="solid">
        <fgColor rgb="FF002060"/>
        <bgColor rgb="FF000000"/>
      </patternFill>
    </fill>
    <fill>
      <patternFill patternType="solid">
        <fgColor rgb="FF70AD47"/>
        <bgColor rgb="FF000000"/>
      </patternFill>
    </fill>
    <fill>
      <patternFill patternType="solid">
        <fgColor rgb="FFC65911"/>
        <bgColor rgb="FF000000"/>
      </patternFill>
    </fill>
    <fill>
      <patternFill patternType="solid">
        <fgColor rgb="FFFFFF00"/>
        <bgColor rgb="FF000000"/>
      </patternFill>
    </fill>
    <fill>
      <patternFill patternType="solid">
        <fgColor rgb="FF8497B0"/>
        <bgColor indexed="64"/>
      </patternFill>
    </fill>
    <fill>
      <patternFill patternType="solid">
        <fgColor rgb="FFFFC000"/>
        <bgColor rgb="FF000000"/>
      </patternFill>
    </fill>
    <fill>
      <patternFill patternType="solid">
        <fgColor rgb="FFFF0000"/>
        <bgColor rgb="FF000000"/>
      </patternFill>
    </fill>
    <fill>
      <patternFill patternType="solid">
        <fgColor rgb="FF92D050"/>
        <bgColor rgb="FF000000"/>
      </patternFill>
    </fill>
    <fill>
      <patternFill patternType="solid">
        <fgColor rgb="FFFFC7CE"/>
        <bgColor rgb="FF000000"/>
      </patternFill>
    </fill>
    <fill>
      <patternFill patternType="solid">
        <fgColor rgb="FF99CC00"/>
        <bgColor rgb="FF000000"/>
      </patternFill>
    </fill>
    <fill>
      <patternFill patternType="solid">
        <fgColor rgb="FF44546A"/>
        <bgColor rgb="FF000000"/>
      </patternFill>
    </fill>
    <fill>
      <patternFill patternType="solid">
        <fgColor theme="0"/>
        <bgColor rgb="FF000000"/>
      </patternFill>
    </fill>
    <fill>
      <patternFill patternType="solid">
        <fgColor theme="0"/>
      </patternFill>
    </fill>
    <fill>
      <patternFill patternType="solid">
        <fgColor theme="8" tint="0.79998168889431442"/>
        <bgColor indexed="64"/>
      </patternFill>
    </fill>
    <fill>
      <patternFill patternType="solid">
        <fgColor theme="8" tint="0.59999389629810485"/>
        <bgColor theme="4" tint="0.79998168889431442"/>
      </patternFill>
    </fill>
    <fill>
      <patternFill patternType="solid">
        <fgColor theme="8" tint="0.59999389629810485"/>
        <bgColor rgb="FF000000"/>
      </patternFill>
    </fill>
    <fill>
      <patternFill patternType="solid">
        <fgColor theme="4"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93">
    <xf numFmtId="0" fontId="0" fillId="0" borderId="0"/>
    <xf numFmtId="0" fontId="39" fillId="8" borderId="4" applyNumberFormat="0" applyAlignment="0" applyProtection="0"/>
    <xf numFmtId="0" fontId="33" fillId="0" borderId="0"/>
    <xf numFmtId="9" fontId="33" fillId="0" borderId="0" applyFont="0" applyFill="0" applyBorder="0" applyAlignment="0" applyProtection="0"/>
    <xf numFmtId="0" fontId="34" fillId="0" borderId="0"/>
    <xf numFmtId="0" fontId="34" fillId="0" borderId="0"/>
    <xf numFmtId="0" fontId="34" fillId="0" borderId="0"/>
    <xf numFmtId="0" fontId="48" fillId="0" borderId="0" applyNumberFormat="0" applyFill="0" applyBorder="0" applyAlignment="0" applyProtection="0"/>
    <xf numFmtId="9" fontId="34"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31" fillId="0" borderId="0"/>
    <xf numFmtId="0" fontId="30" fillId="0" borderId="0"/>
    <xf numFmtId="0" fontId="30" fillId="0" borderId="0"/>
    <xf numFmtId="0" fontId="29" fillId="0" borderId="0"/>
    <xf numFmtId="0" fontId="29" fillId="0" borderId="0"/>
    <xf numFmtId="9" fontId="29" fillId="0" borderId="0" applyFont="0" applyFill="0" applyBorder="0" applyAlignment="0" applyProtection="0"/>
    <xf numFmtId="0" fontId="28" fillId="0" borderId="0"/>
    <xf numFmtId="0" fontId="27" fillId="0" borderId="0"/>
    <xf numFmtId="0" fontId="53" fillId="0" borderId="0" applyNumberFormat="0" applyFill="0" applyBorder="0" applyAlignment="0" applyProtection="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5" fillId="0" borderId="0"/>
    <xf numFmtId="9" fontId="25" fillId="0" borderId="0" applyFont="0" applyFill="0" applyBorder="0" applyAlignment="0" applyProtection="0"/>
    <xf numFmtId="0" fontId="24" fillId="0" borderId="0"/>
    <xf numFmtId="0" fontId="24" fillId="0" borderId="0"/>
    <xf numFmtId="0" fontId="54" fillId="22" borderId="4" applyProtection="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2" fillId="0" borderId="0"/>
    <xf numFmtId="0" fontId="22" fillId="0" borderId="0"/>
    <xf numFmtId="9" fontId="22" fillId="0" borderId="0" applyFont="0" applyFill="0" applyBorder="0" applyAlignment="0" applyProtection="0"/>
    <xf numFmtId="0" fontId="50" fillId="0" borderId="0"/>
    <xf numFmtId="0" fontId="21" fillId="0" borderId="0"/>
    <xf numFmtId="0" fontId="21" fillId="0" borderId="0"/>
    <xf numFmtId="9" fontId="21" fillId="0" borderId="0" applyFont="0" applyFill="0" applyBorder="0" applyAlignment="0" applyProtection="0"/>
    <xf numFmtId="0" fontId="58" fillId="0" borderId="0" applyNumberFormat="0" applyFill="0" applyBorder="0" applyAlignment="0" applyProtection="0"/>
    <xf numFmtId="0" fontId="21" fillId="0" borderId="0"/>
    <xf numFmtId="0" fontId="20" fillId="0" borderId="0"/>
    <xf numFmtId="0" fontId="20" fillId="0" borderId="0"/>
    <xf numFmtId="9" fontId="20" fillId="0" borderId="0" applyFont="0" applyFill="0" applyBorder="0" applyAlignment="0" applyProtection="0"/>
    <xf numFmtId="0" fontId="20" fillId="0" borderId="0"/>
    <xf numFmtId="0" fontId="20" fillId="0" borderId="0"/>
    <xf numFmtId="0" fontId="20" fillId="0" borderId="0"/>
    <xf numFmtId="9" fontId="20" fillId="0" borderId="0" applyFont="0" applyFill="0" applyBorder="0" applyAlignment="0" applyProtection="0"/>
    <xf numFmtId="0" fontId="20" fillId="0" borderId="0"/>
    <xf numFmtId="0" fontId="20" fillId="0" borderId="0"/>
    <xf numFmtId="9" fontId="20" fillId="0" borderId="0" applyFont="0" applyFill="0" applyBorder="0" applyAlignment="0" applyProtection="0"/>
    <xf numFmtId="0" fontId="20" fillId="0" borderId="0"/>
    <xf numFmtId="0" fontId="20" fillId="0" borderId="0"/>
    <xf numFmtId="0" fontId="20" fillId="0" borderId="0"/>
    <xf numFmtId="9" fontId="20" fillId="0" borderId="0" applyFont="0" applyFill="0" applyBorder="0" applyAlignment="0" applyProtection="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5" fillId="0" borderId="0"/>
    <xf numFmtId="0" fontId="15" fillId="0" borderId="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3" fillId="0" borderId="0"/>
    <xf numFmtId="0" fontId="13" fillId="0" borderId="0"/>
    <xf numFmtId="0" fontId="13" fillId="0" borderId="0"/>
    <xf numFmtId="9" fontId="13"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43" fontId="34"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4" fontId="6"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0" fillId="0" borderId="0" applyNumberFormat="0" applyFill="0" applyBorder="0" applyAlignment="0" applyProtection="0"/>
    <xf numFmtId="0" fontId="65" fillId="0" borderId="0"/>
  </cellStyleXfs>
  <cellXfs count="857">
    <xf numFmtId="0" fontId="0" fillId="0" borderId="0" xfId="0"/>
    <xf numFmtId="0" fontId="34" fillId="0" borderId="0" xfId="4"/>
    <xf numFmtId="0" fontId="46" fillId="0" borderId="1" xfId="4" applyFont="1" applyBorder="1" applyAlignment="1">
      <alignment horizontal="center" vertical="center" wrapText="1"/>
    </xf>
    <xf numFmtId="0" fontId="34" fillId="0" borderId="1" xfId="4" applyBorder="1" applyAlignment="1">
      <alignment horizontal="justify" vertical="center"/>
    </xf>
    <xf numFmtId="0" fontId="36" fillId="0" borderId="1" xfId="4" applyFont="1" applyBorder="1" applyAlignment="1">
      <alignment horizontal="center"/>
    </xf>
    <xf numFmtId="0" fontId="36" fillId="0" borderId="1" xfId="4" applyFont="1" applyBorder="1" applyAlignment="1">
      <alignment horizontal="center" vertical="center"/>
    </xf>
    <xf numFmtId="0" fontId="34" fillId="0" borderId="1" xfId="4" applyBorder="1" applyAlignment="1">
      <alignment horizontal="center"/>
    </xf>
    <xf numFmtId="0" fontId="34" fillId="0" borderId="1" xfId="4" applyBorder="1" applyAlignment="1">
      <alignment wrapText="1"/>
    </xf>
    <xf numFmtId="0" fontId="34" fillId="0" borderId="1" xfId="4" applyBorder="1" applyAlignment="1">
      <alignment vertical="center"/>
    </xf>
    <xf numFmtId="0" fontId="34" fillId="0" borderId="1" xfId="4" applyBorder="1" applyAlignment="1">
      <alignment horizontal="center" vertical="center"/>
    </xf>
    <xf numFmtId="0" fontId="36" fillId="18" borderId="1" xfId="4" applyFont="1" applyFill="1" applyBorder="1" applyAlignment="1">
      <alignment horizontal="center" wrapText="1"/>
    </xf>
    <xf numFmtId="0" fontId="46" fillId="4" borderId="1" xfId="4" applyFont="1" applyFill="1" applyBorder="1"/>
    <xf numFmtId="0" fontId="34" fillId="0" borderId="1" xfId="4" applyBorder="1" applyAlignment="1">
      <alignment vertical="center" wrapText="1"/>
    </xf>
    <xf numFmtId="0" fontId="36" fillId="18" borderId="1" xfId="4" applyFont="1" applyFill="1" applyBorder="1" applyAlignment="1">
      <alignment horizontal="justify" wrapText="1"/>
    </xf>
    <xf numFmtId="0" fontId="46" fillId="13" borderId="1" xfId="4" applyFont="1" applyFill="1" applyBorder="1"/>
    <xf numFmtId="0" fontId="46" fillId="0" borderId="1" xfId="4" applyFont="1" applyBorder="1" applyAlignment="1">
      <alignment horizontal="center" vertical="center"/>
    </xf>
    <xf numFmtId="0" fontId="46" fillId="18" borderId="1" xfId="4" applyFont="1" applyFill="1" applyBorder="1"/>
    <xf numFmtId="0" fontId="46" fillId="0" borderId="0" xfId="4" applyFont="1"/>
    <xf numFmtId="0" fontId="34" fillId="0" borderId="1" xfId="4" applyBorder="1" applyAlignment="1">
      <alignment horizontal="left" wrapText="1"/>
    </xf>
    <xf numFmtId="0" fontId="34" fillId="4" borderId="1" xfId="4" applyFill="1" applyBorder="1" applyAlignment="1">
      <alignment horizontal="center" vertical="center"/>
    </xf>
    <xf numFmtId="0" fontId="36" fillId="4" borderId="1" xfId="4" applyFont="1" applyFill="1" applyBorder="1" applyAlignment="1">
      <alignment horizontal="justify" vertical="center"/>
    </xf>
    <xf numFmtId="0" fontId="34" fillId="0" borderId="1" xfId="4" applyBorder="1"/>
    <xf numFmtId="0" fontId="36" fillId="13" borderId="1" xfId="4" applyFont="1" applyFill="1" applyBorder="1" applyAlignment="1">
      <alignment horizontal="justify"/>
    </xf>
    <xf numFmtId="0" fontId="36" fillId="0" borderId="6" xfId="4" applyFont="1" applyBorder="1" applyAlignment="1">
      <alignment horizontal="justify" vertical="center"/>
    </xf>
    <xf numFmtId="14" fontId="34" fillId="4" borderId="1" xfId="4" applyNumberFormat="1" applyFill="1" applyBorder="1" applyAlignment="1">
      <alignment horizontal="center"/>
    </xf>
    <xf numFmtId="0" fontId="36" fillId="4" borderId="1" xfId="4" applyFont="1" applyFill="1" applyBorder="1" applyAlignment="1">
      <alignment horizontal="justify"/>
    </xf>
    <xf numFmtId="0" fontId="34" fillId="4" borderId="1" xfId="4" applyFill="1" applyBorder="1" applyAlignment="1">
      <alignment horizontal="center"/>
    </xf>
    <xf numFmtId="0" fontId="35" fillId="0" borderId="1" xfId="4" applyFont="1" applyBorder="1" applyAlignment="1">
      <alignment horizontal="justify" vertical="center" wrapText="1"/>
    </xf>
    <xf numFmtId="0" fontId="36" fillId="18" borderId="1" xfId="4" applyFont="1" applyFill="1" applyBorder="1" applyAlignment="1">
      <alignment horizontal="justify"/>
    </xf>
    <xf numFmtId="0" fontId="34" fillId="0" borderId="1" xfId="0" applyFont="1" applyBorder="1" applyAlignment="1">
      <alignment horizontal="center" vertical="center"/>
    </xf>
    <xf numFmtId="0" fontId="34" fillId="20" borderId="1" xfId="0" applyFont="1" applyFill="1" applyBorder="1" applyAlignment="1">
      <alignment horizontal="center" vertical="center" wrapText="1"/>
    </xf>
    <xf numFmtId="14" fontId="34" fillId="20" borderId="1" xfId="0" applyNumberFormat="1" applyFont="1" applyFill="1" applyBorder="1" applyAlignment="1">
      <alignment horizontal="center" vertical="center" wrapText="1"/>
    </xf>
    <xf numFmtId="0" fontId="36" fillId="15"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34" fillId="11" borderId="1" xfId="0" applyFont="1" applyFill="1" applyBorder="1" applyAlignment="1">
      <alignment horizontal="justify" vertical="center" wrapText="1"/>
    </xf>
    <xf numFmtId="0" fontId="0" fillId="0" borderId="1" xfId="0" applyBorder="1" applyAlignment="1">
      <alignment horizontal="center"/>
    </xf>
    <xf numFmtId="0" fontId="34" fillId="11" borderId="1" xfId="0" applyFont="1" applyFill="1" applyBorder="1" applyAlignment="1">
      <alignment horizontal="left" vertical="center" wrapText="1"/>
    </xf>
    <xf numFmtId="49" fontId="34" fillId="20" borderId="1" xfId="0" applyNumberFormat="1" applyFont="1" applyFill="1" applyBorder="1" applyAlignment="1">
      <alignment horizontal="center" vertical="center" wrapText="1"/>
    </xf>
    <xf numFmtId="14" fontId="52" fillId="2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14" fontId="34" fillId="0" borderId="1" xfId="0" applyNumberFormat="1" applyFont="1" applyBorder="1" applyAlignment="1">
      <alignment horizontal="center" vertical="center"/>
    </xf>
    <xf numFmtId="18" fontId="0" fillId="0" borderId="1" xfId="0" applyNumberFormat="1" applyBorder="1" applyAlignment="1">
      <alignment horizontal="center" vertical="center"/>
    </xf>
    <xf numFmtId="168" fontId="0" fillId="0" borderId="1" xfId="0" applyNumberFormat="1" applyBorder="1" applyAlignment="1">
      <alignment horizontal="center" vertical="center"/>
    </xf>
    <xf numFmtId="18" fontId="34" fillId="0" borderId="1" xfId="0" applyNumberFormat="1" applyFont="1" applyBorder="1" applyAlignment="1">
      <alignment horizontal="center" vertical="center"/>
    </xf>
    <xf numFmtId="0" fontId="34" fillId="0" borderId="1" xfId="4" applyBorder="1" applyAlignment="1">
      <alignment horizontal="justify"/>
    </xf>
    <xf numFmtId="0" fontId="34" fillId="0" borderId="5" xfId="4" applyBorder="1" applyAlignment="1">
      <alignment horizontal="justify"/>
    </xf>
    <xf numFmtId="0" fontId="34" fillId="0" borderId="0" xfId="0" applyFont="1" applyAlignment="1">
      <alignment horizontal="justify"/>
    </xf>
    <xf numFmtId="0" fontId="34" fillId="0" borderId="5" xfId="4" applyBorder="1" applyAlignment="1">
      <alignment horizontal="justify" vertical="center"/>
    </xf>
    <xf numFmtId="0" fontId="0" fillId="0" borderId="1" xfId="0" applyBorder="1" applyAlignment="1">
      <alignment horizontal="justify" vertical="center"/>
    </xf>
    <xf numFmtId="0" fontId="34" fillId="0" borderId="1" xfId="0" applyFont="1" applyBorder="1" applyAlignment="1">
      <alignment horizontal="justify" vertical="center"/>
    </xf>
    <xf numFmtId="0" fontId="34" fillId="0" borderId="1" xfId="0" applyFont="1" applyBorder="1" applyAlignment="1">
      <alignment horizontal="justify"/>
    </xf>
    <xf numFmtId="0" fontId="34" fillId="0" borderId="1" xfId="0" applyFont="1" applyBorder="1" applyAlignment="1">
      <alignment horizontal="justify" wrapText="1"/>
    </xf>
    <xf numFmtId="0" fontId="36" fillId="15" borderId="1" xfId="4" applyFont="1" applyFill="1" applyBorder="1" applyAlignment="1">
      <alignment horizontal="center" vertical="center"/>
    </xf>
    <xf numFmtId="0" fontId="0" fillId="0" borderId="0" xfId="0" applyAlignment="1">
      <alignment horizontal="center" vertical="center"/>
    </xf>
    <xf numFmtId="0" fontId="47" fillId="0" borderId="0" xfId="0" applyFont="1" applyAlignment="1">
      <alignment horizontal="center" vertical="center" wrapText="1"/>
    </xf>
    <xf numFmtId="9" fontId="47" fillId="11" borderId="6" xfId="4" applyNumberFormat="1" applyFont="1" applyFill="1" applyBorder="1" applyAlignment="1">
      <alignment horizontal="center" vertical="center" wrapText="1"/>
    </xf>
    <xf numFmtId="0" fontId="0" fillId="0" borderId="22" xfId="0" applyBorder="1" applyAlignment="1">
      <alignment horizontal="center"/>
    </xf>
    <xf numFmtId="0" fontId="34" fillId="11" borderId="22" xfId="0" applyFont="1" applyFill="1" applyBorder="1" applyAlignment="1">
      <alignment horizontal="justify" vertical="center" wrapText="1"/>
    </xf>
    <xf numFmtId="14" fontId="0" fillId="0" borderId="22" xfId="0" applyNumberFormat="1" applyBorder="1" applyAlignment="1">
      <alignment horizontal="center" vertical="center"/>
    </xf>
    <xf numFmtId="18" fontId="0" fillId="0" borderId="22" xfId="0" applyNumberFormat="1" applyBorder="1" applyAlignment="1">
      <alignment horizontal="center" vertical="center"/>
    </xf>
    <xf numFmtId="14" fontId="0" fillId="0" borderId="0" xfId="0" applyNumberFormat="1"/>
    <xf numFmtId="9" fontId="50" fillId="11" borderId="1" xfId="4" applyNumberFormat="1" applyFont="1" applyFill="1" applyBorder="1" applyAlignment="1">
      <alignment horizontal="center" vertical="center" wrapText="1"/>
    </xf>
    <xf numFmtId="0" fontId="47" fillId="0" borderId="0" xfId="0" applyFont="1"/>
    <xf numFmtId="0" fontId="47" fillId="0" borderId="0" xfId="0" applyFont="1" applyAlignment="1" applyProtection="1">
      <alignment horizontal="center" vertical="center"/>
      <protection locked="0"/>
    </xf>
    <xf numFmtId="0" fontId="47" fillId="0" borderId="0" xfId="0" applyFont="1" applyAlignment="1">
      <alignment horizontal="center" vertical="center"/>
    </xf>
    <xf numFmtId="0" fontId="68" fillId="25" borderId="5" xfId="0" applyFont="1" applyFill="1" applyBorder="1" applyAlignment="1" applyProtection="1">
      <alignment horizontal="center" vertical="center" wrapText="1"/>
      <protection locked="0"/>
    </xf>
    <xf numFmtId="14" fontId="47" fillId="0" borderId="0" xfId="0" applyNumberFormat="1" applyFont="1" applyAlignment="1">
      <alignment horizontal="center" vertical="center" wrapText="1"/>
    </xf>
    <xf numFmtId="0" fontId="50" fillId="0" borderId="0" xfId="0" applyFont="1" applyAlignment="1">
      <alignment horizontal="center" vertical="center" wrapText="1"/>
    </xf>
    <xf numFmtId="1" fontId="51" fillId="0" borderId="20" xfId="0" applyNumberFormat="1" applyFont="1" applyBorder="1" applyAlignment="1">
      <alignment horizontal="center" vertical="center" wrapText="1"/>
    </xf>
    <xf numFmtId="0" fontId="47" fillId="0" borderId="0" xfId="174" applyFont="1" applyAlignment="1" applyProtection="1">
      <alignment horizontal="center" vertical="center" wrapText="1"/>
      <protection locked="0"/>
    </xf>
    <xf numFmtId="0" fontId="68" fillId="25" borderId="5" xfId="174" applyFont="1" applyFill="1" applyBorder="1" applyAlignment="1" applyProtection="1">
      <alignment horizontal="center" vertical="center" wrapText="1"/>
      <protection locked="0"/>
    </xf>
    <xf numFmtId="1" fontId="51" fillId="0" borderId="20" xfId="174" applyNumberFormat="1" applyFont="1" applyBorder="1" applyAlignment="1">
      <alignment horizontal="center" vertical="center" wrapText="1"/>
    </xf>
    <xf numFmtId="9" fontId="45" fillId="2" borderId="16" xfId="177" applyNumberFormat="1" applyFont="1" applyFill="1" applyBorder="1" applyAlignment="1">
      <alignment horizontal="center" vertical="center" wrapText="1"/>
    </xf>
    <xf numFmtId="0" fontId="35" fillId="0" borderId="0" xfId="0" applyFont="1"/>
    <xf numFmtId="0" fontId="47" fillId="0" borderId="0" xfId="174" applyFont="1" applyAlignment="1" applyProtection="1">
      <alignment horizontal="center" vertical="center"/>
      <protection locked="0"/>
    </xf>
    <xf numFmtId="0" fontId="47" fillId="0" borderId="0" xfId="0" applyFont="1" applyAlignment="1">
      <alignment wrapText="1"/>
    </xf>
    <xf numFmtId="9" fontId="47" fillId="0" borderId="0" xfId="0" applyNumberFormat="1" applyFont="1" applyAlignment="1">
      <alignment wrapText="1"/>
    </xf>
    <xf numFmtId="0" fontId="49" fillId="11" borderId="0" xfId="174" applyFont="1" applyFill="1" applyAlignment="1" applyProtection="1">
      <alignment horizontal="center" vertical="center"/>
      <protection locked="0"/>
    </xf>
    <xf numFmtId="0" fontId="49" fillId="0" borderId="0" xfId="174" applyFont="1" applyAlignment="1" applyProtection="1">
      <alignment horizontal="center" vertical="center"/>
      <protection locked="0"/>
    </xf>
    <xf numFmtId="9" fontId="56" fillId="2" borderId="16" xfId="177" applyNumberFormat="1" applyFont="1" applyFill="1" applyBorder="1" applyAlignment="1">
      <alignment horizontal="center" vertical="center"/>
    </xf>
    <xf numFmtId="9" fontId="47" fillId="0" borderId="5" xfId="170" applyFont="1" applyFill="1" applyBorder="1" applyAlignment="1">
      <alignment horizontal="center" vertical="center"/>
    </xf>
    <xf numFmtId="0" fontId="47" fillId="0" borderId="0" xfId="166" applyFont="1" applyAlignment="1" applyProtection="1">
      <alignment horizontal="center" vertical="center"/>
      <protection locked="0"/>
    </xf>
    <xf numFmtId="0" fontId="47" fillId="11" borderId="0" xfId="166" applyFont="1" applyFill="1" applyAlignment="1" applyProtection="1">
      <alignment horizontal="center" vertical="center"/>
      <protection locked="0"/>
    </xf>
    <xf numFmtId="0" fontId="68" fillId="25" borderId="5" xfId="166" applyFont="1" applyFill="1" applyBorder="1" applyAlignment="1" applyProtection="1">
      <alignment horizontal="center" vertical="center" wrapText="1"/>
      <protection locked="0"/>
    </xf>
    <xf numFmtId="1" fontId="51" fillId="0" borderId="20" xfId="166" applyNumberFormat="1" applyFont="1" applyBorder="1" applyAlignment="1">
      <alignment horizontal="center" vertical="center"/>
    </xf>
    <xf numFmtId="10" fontId="45" fillId="2" borderId="6" xfId="168" applyNumberFormat="1" applyFont="1" applyFill="1" applyBorder="1" applyAlignment="1">
      <alignment horizontal="center" vertical="center"/>
    </xf>
    <xf numFmtId="9" fontId="45" fillId="2" borderId="16" xfId="168" applyNumberFormat="1" applyFont="1" applyFill="1" applyBorder="1" applyAlignment="1">
      <alignment horizontal="center" vertical="center"/>
    </xf>
    <xf numFmtId="0" fontId="45" fillId="11" borderId="0" xfId="166" applyFont="1" applyFill="1" applyAlignment="1" applyProtection="1">
      <alignment horizontal="center" vertical="center"/>
      <protection locked="0"/>
    </xf>
    <xf numFmtId="0" fontId="47" fillId="0" borderId="0" xfId="166" applyFont="1" applyAlignment="1" applyProtection="1">
      <alignment horizontal="center" vertical="center" wrapText="1"/>
      <protection locked="0"/>
    </xf>
    <xf numFmtId="164" fontId="47" fillId="0" borderId="0" xfId="171" applyFont="1" applyFill="1" applyBorder="1" applyAlignment="1" applyProtection="1">
      <alignment horizontal="center" vertical="center" wrapText="1"/>
      <protection locked="0"/>
    </xf>
    <xf numFmtId="9" fontId="47" fillId="0" borderId="0" xfId="170" applyFont="1" applyFill="1" applyBorder="1" applyAlignment="1" applyProtection="1">
      <alignment horizontal="center" vertical="center"/>
      <protection locked="0"/>
    </xf>
    <xf numFmtId="166" fontId="51" fillId="0" borderId="14" xfId="166" applyNumberFormat="1" applyFont="1" applyBorder="1" applyAlignment="1">
      <alignment horizontal="center" vertical="center"/>
    </xf>
    <xf numFmtId="0" fontId="47" fillId="0" borderId="0" xfId="151" applyFont="1" applyAlignment="1" applyProtection="1">
      <alignment horizontal="center" vertical="center"/>
      <protection locked="0"/>
    </xf>
    <xf numFmtId="14" fontId="47" fillId="0" borderId="0" xfId="0" applyNumberFormat="1" applyFont="1" applyAlignment="1">
      <alignment wrapText="1"/>
    </xf>
    <xf numFmtId="0" fontId="50" fillId="11" borderId="0" xfId="0" applyFont="1" applyFill="1" applyAlignment="1">
      <alignment vertical="center" wrapText="1"/>
    </xf>
    <xf numFmtId="0" fontId="50" fillId="0" borderId="1" xfId="188" applyFont="1" applyBorder="1" applyAlignment="1">
      <alignment horizontal="center" vertical="center"/>
    </xf>
    <xf numFmtId="0" fontId="50" fillId="0" borderId="9" xfId="188" applyFont="1" applyBorder="1" applyAlignment="1">
      <alignment horizontal="center" vertical="center"/>
    </xf>
    <xf numFmtId="0" fontId="50" fillId="0" borderId="8" xfId="188" applyFont="1" applyBorder="1" applyAlignment="1">
      <alignment horizontal="center" vertical="center"/>
    </xf>
    <xf numFmtId="0" fontId="50" fillId="0" borderId="3" xfId="183" applyFont="1" applyBorder="1" applyAlignment="1">
      <alignment horizontal="center" vertical="center" wrapText="1"/>
    </xf>
    <xf numFmtId="0" fontId="50" fillId="0" borderId="1" xfId="183" applyFont="1" applyBorder="1" applyAlignment="1">
      <alignment horizontal="center" vertical="center" wrapText="1"/>
    </xf>
    <xf numFmtId="14" fontId="50" fillId="0" borderId="1" xfId="188" applyNumberFormat="1" applyFont="1" applyBorder="1" applyAlignment="1">
      <alignment horizontal="center" vertical="center"/>
    </xf>
    <xf numFmtId="0" fontId="50" fillId="0" borderId="6" xfId="188" applyFont="1" applyBorder="1" applyAlignment="1">
      <alignment horizontal="center" vertical="center"/>
    </xf>
    <xf numFmtId="0" fontId="71" fillId="0" borderId="1" xfId="188" applyFont="1" applyBorder="1" applyAlignment="1">
      <alignment horizontal="center" vertical="center"/>
    </xf>
    <xf numFmtId="0" fontId="50" fillId="11" borderId="3" xfId="188" applyFont="1" applyFill="1" applyBorder="1" applyAlignment="1">
      <alignment horizontal="center" vertical="center"/>
    </xf>
    <xf numFmtId="0" fontId="50" fillId="11" borderId="1" xfId="188" applyFont="1" applyFill="1" applyBorder="1" applyAlignment="1">
      <alignment horizontal="center" vertical="center"/>
    </xf>
    <xf numFmtId="14" fontId="50" fillId="11" borderId="1" xfId="188" applyNumberFormat="1" applyFont="1" applyFill="1" applyBorder="1" applyAlignment="1">
      <alignment horizontal="center" vertical="center"/>
    </xf>
    <xf numFmtId="14" fontId="50" fillId="0" borderId="6" xfId="188" applyNumberFormat="1" applyFont="1" applyBorder="1" applyAlignment="1">
      <alignment horizontal="center" vertical="center"/>
    </xf>
    <xf numFmtId="0" fontId="50" fillId="0" borderId="0" xfId="188" applyFont="1" applyAlignment="1">
      <alignment horizontal="center" vertical="center"/>
    </xf>
    <xf numFmtId="0" fontId="50" fillId="0" borderId="0" xfId="158" applyFont="1" applyAlignment="1">
      <alignment horizontal="center" vertical="center" wrapText="1"/>
    </xf>
    <xf numFmtId="14" fontId="50" fillId="0" borderId="0" xfId="158" applyNumberFormat="1" applyFont="1" applyAlignment="1">
      <alignment horizontal="center" vertical="center" wrapText="1"/>
    </xf>
    <xf numFmtId="14" fontId="50" fillId="0" borderId="0" xfId="188" applyNumberFormat="1" applyFont="1" applyAlignment="1">
      <alignment horizontal="center" vertical="center"/>
    </xf>
    <xf numFmtId="0" fontId="45" fillId="0" borderId="0" xfId="0" applyFont="1" applyAlignment="1">
      <alignment horizontal="center" vertical="center" wrapText="1"/>
    </xf>
    <xf numFmtId="0" fontId="50" fillId="11" borderId="0" xfId="0" applyFont="1" applyFill="1" applyAlignment="1">
      <alignment horizontal="center" vertical="center"/>
    </xf>
    <xf numFmtId="14" fontId="47" fillId="0" borderId="0" xfId="0" applyNumberFormat="1" applyFont="1" applyAlignment="1">
      <alignment horizontal="center" vertical="center"/>
    </xf>
    <xf numFmtId="0" fontId="47" fillId="11" borderId="0" xfId="0" applyFont="1" applyFill="1" applyAlignment="1">
      <alignment horizontal="center" vertical="center" wrapText="1"/>
    </xf>
    <xf numFmtId="0" fontId="47" fillId="11" borderId="0" xfId="0" applyFont="1" applyFill="1" applyAlignment="1">
      <alignment wrapText="1"/>
    </xf>
    <xf numFmtId="9" fontId="50" fillId="9" borderId="1" xfId="4"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7" fillId="4" borderId="1" xfId="0" applyFont="1" applyFill="1" applyBorder="1" applyAlignment="1">
      <alignment horizontal="center" vertical="center" wrapText="1"/>
    </xf>
    <xf numFmtId="0" fontId="47" fillId="5" borderId="1" xfId="0" applyFont="1" applyFill="1" applyBorder="1" applyAlignment="1">
      <alignment horizontal="center" vertical="center" wrapText="1"/>
    </xf>
    <xf numFmtId="0" fontId="47" fillId="6" borderId="1" xfId="0" applyFont="1" applyFill="1" applyBorder="1" applyAlignment="1">
      <alignment horizontal="center" vertical="center" wrapText="1"/>
    </xf>
    <xf numFmtId="0" fontId="34" fillId="29" borderId="1" xfId="0" applyFont="1" applyFill="1" applyBorder="1" applyAlignment="1">
      <alignment horizontal="center" vertical="center"/>
    </xf>
    <xf numFmtId="0" fontId="34" fillId="11" borderId="0" xfId="0" applyFont="1" applyFill="1"/>
    <xf numFmtId="0" fontId="34" fillId="11" borderId="6" xfId="0" applyFont="1" applyFill="1" applyBorder="1" applyAlignment="1">
      <alignment horizontal="center" vertical="center"/>
    </xf>
    <xf numFmtId="9" fontId="34" fillId="11" borderId="21" xfId="0" applyNumberFormat="1" applyFont="1" applyFill="1" applyBorder="1" applyAlignment="1">
      <alignment horizontal="center" vertical="center" wrapText="1"/>
    </xf>
    <xf numFmtId="0" fontId="36" fillId="47" borderId="21" xfId="0" applyFont="1" applyFill="1" applyBorder="1" applyAlignment="1">
      <alignment horizontal="center" vertical="center" wrapText="1"/>
    </xf>
    <xf numFmtId="0" fontId="36" fillId="11" borderId="21" xfId="0" applyFont="1" applyFill="1" applyBorder="1" applyAlignment="1">
      <alignment horizontal="center" vertical="center" wrapText="1"/>
    </xf>
    <xf numFmtId="0" fontId="34" fillId="47" borderId="21" xfId="0" applyFont="1" applyFill="1" applyBorder="1" applyAlignment="1">
      <alignment horizontal="center" vertical="center" wrapText="1"/>
    </xf>
    <xf numFmtId="0" fontId="34" fillId="11" borderId="21" xfId="0" applyFont="1" applyFill="1" applyBorder="1" applyAlignment="1">
      <alignment horizontal="center" vertical="center" wrapText="1"/>
    </xf>
    <xf numFmtId="9" fontId="35" fillId="11" borderId="21" xfId="4" applyNumberFormat="1" applyFont="1" applyFill="1" applyBorder="1" applyAlignment="1">
      <alignment horizontal="center" vertical="center" wrapText="1"/>
    </xf>
    <xf numFmtId="9" fontId="36" fillId="11" borderId="21" xfId="191" applyNumberFormat="1" applyFont="1" applyFill="1" applyBorder="1" applyAlignment="1" applyProtection="1">
      <alignment horizontal="center" vertical="center" wrapText="1"/>
    </xf>
    <xf numFmtId="0" fontId="69" fillId="7" borderId="21" xfId="0" applyFont="1" applyFill="1" applyBorder="1" applyAlignment="1">
      <alignment horizontal="center" vertical="center" wrapText="1"/>
    </xf>
    <xf numFmtId="0" fontId="34" fillId="11" borderId="25" xfId="0" applyFont="1" applyFill="1" applyBorder="1" applyAlignment="1">
      <alignment horizontal="center" vertical="center" wrapText="1"/>
    </xf>
    <xf numFmtId="9" fontId="34" fillId="11" borderId="25" xfId="188" applyNumberFormat="1" applyFont="1" applyFill="1" applyBorder="1" applyAlignment="1">
      <alignment horizontal="center" vertical="center"/>
    </xf>
    <xf numFmtId="9" fontId="34" fillId="45" borderId="25" xfId="0" applyNumberFormat="1" applyFont="1" applyFill="1" applyBorder="1" applyAlignment="1">
      <alignment horizontal="center" vertical="center"/>
    </xf>
    <xf numFmtId="0" fontId="60" fillId="11" borderId="25" xfId="0" applyFont="1" applyFill="1" applyBorder="1" applyAlignment="1">
      <alignment horizontal="center" vertical="center"/>
    </xf>
    <xf numFmtId="0" fontId="34" fillId="11" borderId="25" xfId="0" applyFont="1" applyFill="1" applyBorder="1" applyAlignment="1">
      <alignment horizontal="center" vertical="center"/>
    </xf>
    <xf numFmtId="0" fontId="60" fillId="11" borderId="25" xfId="0" quotePrefix="1" applyFont="1" applyFill="1" applyBorder="1" applyAlignment="1">
      <alignment horizontal="center" vertical="center"/>
    </xf>
    <xf numFmtId="9" fontId="34" fillId="11" borderId="25" xfId="0" applyNumberFormat="1" applyFont="1" applyFill="1" applyBorder="1" applyAlignment="1">
      <alignment horizontal="center" vertical="center"/>
    </xf>
    <xf numFmtId="0" fontId="82" fillId="11" borderId="25" xfId="0" quotePrefix="1" applyFont="1" applyFill="1" applyBorder="1" applyAlignment="1">
      <alignment horizontal="center" vertical="center"/>
    </xf>
    <xf numFmtId="1" fontId="34" fillId="11" borderId="25" xfId="0" applyNumberFormat="1" applyFont="1" applyFill="1" applyBorder="1" applyAlignment="1">
      <alignment horizontal="center" vertical="center" wrapText="1"/>
    </xf>
    <xf numFmtId="0" fontId="34" fillId="11" borderId="25" xfId="191" applyFont="1" applyFill="1" applyBorder="1" applyAlignment="1" applyProtection="1">
      <alignment horizontal="center" vertical="center" wrapText="1"/>
    </xf>
    <xf numFmtId="0" fontId="81" fillId="7" borderId="11" xfId="0" applyFont="1" applyFill="1" applyBorder="1" applyAlignment="1">
      <alignment horizontal="center" vertical="center" wrapText="1"/>
    </xf>
    <xf numFmtId="0" fontId="68" fillId="7" borderId="14" xfId="0" applyFont="1" applyFill="1" applyBorder="1" applyAlignment="1">
      <alignment horizontal="center" vertical="center" wrapText="1"/>
    </xf>
    <xf numFmtId="14" fontId="68" fillId="7" borderId="14" xfId="0" applyNumberFormat="1" applyFont="1" applyFill="1" applyBorder="1" applyAlignment="1">
      <alignment horizontal="center" vertical="center" wrapText="1"/>
    </xf>
    <xf numFmtId="0" fontId="68" fillId="7" borderId="13" xfId="0" applyFont="1" applyFill="1" applyBorder="1" applyAlignment="1">
      <alignment horizontal="center" vertical="center" wrapText="1"/>
    </xf>
    <xf numFmtId="0" fontId="47" fillId="47" borderId="26" xfId="0" applyFont="1" applyFill="1" applyBorder="1" applyAlignment="1">
      <alignment horizontal="center" vertical="center"/>
    </xf>
    <xf numFmtId="0" fontId="47" fillId="47" borderId="25" xfId="0" applyFont="1" applyFill="1" applyBorder="1" applyAlignment="1">
      <alignment horizontal="center" vertical="center" wrapText="1"/>
    </xf>
    <xf numFmtId="0" fontId="47" fillId="47" borderId="25" xfId="191" applyFont="1" applyFill="1" applyBorder="1" applyAlignment="1" applyProtection="1">
      <alignment horizontal="center" vertical="center" wrapText="1"/>
    </xf>
    <xf numFmtId="14" fontId="50" fillId="47" borderId="25" xfId="0" applyNumberFormat="1" applyFont="1" applyFill="1" applyBorder="1" applyAlignment="1">
      <alignment horizontal="center" vertical="center" wrapText="1"/>
    </xf>
    <xf numFmtId="14" fontId="47" fillId="47" borderId="25" xfId="0" applyNumberFormat="1" applyFont="1" applyFill="1" applyBorder="1" applyAlignment="1">
      <alignment horizontal="center" vertical="center" wrapText="1"/>
    </xf>
    <xf numFmtId="9" fontId="47" fillId="47" borderId="25" xfId="4" applyNumberFormat="1" applyFont="1" applyFill="1" applyBorder="1" applyAlignment="1">
      <alignment horizontal="center" vertical="center" wrapText="1"/>
    </xf>
    <xf numFmtId="9" fontId="47" fillId="47" borderId="25" xfId="0" applyNumberFormat="1" applyFont="1" applyFill="1" applyBorder="1" applyAlignment="1">
      <alignment horizontal="center" vertical="center" wrapText="1"/>
    </xf>
    <xf numFmtId="0" fontId="50" fillId="47" borderId="25" xfId="0" applyFont="1" applyFill="1" applyBorder="1" applyAlignment="1">
      <alignment horizontal="center" vertical="center" wrapText="1"/>
    </xf>
    <xf numFmtId="0" fontId="47" fillId="47" borderId="27" xfId="0" applyFont="1" applyFill="1" applyBorder="1" applyAlignment="1">
      <alignment horizontal="center" vertical="center" wrapText="1"/>
    </xf>
    <xf numFmtId="0" fontId="47" fillId="11" borderId="26" xfId="0" applyFont="1" applyFill="1" applyBorder="1" applyAlignment="1">
      <alignment horizontal="center" vertical="center"/>
    </xf>
    <xf numFmtId="0" fontId="47" fillId="11" borderId="25" xfId="0" applyFont="1" applyFill="1" applyBorder="1" applyAlignment="1">
      <alignment horizontal="center" vertical="center" wrapText="1"/>
    </xf>
    <xf numFmtId="0" fontId="47" fillId="11" borderId="25" xfId="191" applyFont="1" applyFill="1" applyBorder="1" applyAlignment="1" applyProtection="1">
      <alignment horizontal="center" vertical="center" wrapText="1"/>
    </xf>
    <xf numFmtId="14" fontId="50" fillId="11" borderId="25" xfId="0" applyNumberFormat="1" applyFont="1" applyFill="1" applyBorder="1" applyAlignment="1">
      <alignment horizontal="center" vertical="center" wrapText="1"/>
    </xf>
    <xf numFmtId="14" fontId="47" fillId="11" borderId="25" xfId="0" applyNumberFormat="1" applyFont="1" applyFill="1" applyBorder="1" applyAlignment="1">
      <alignment horizontal="center" vertical="center" wrapText="1"/>
    </xf>
    <xf numFmtId="9" fontId="47" fillId="11" borderId="25" xfId="4" applyNumberFormat="1" applyFont="1" applyFill="1" applyBorder="1" applyAlignment="1">
      <alignment horizontal="center" vertical="center" wrapText="1"/>
    </xf>
    <xf numFmtId="9" fontId="47" fillId="11" borderId="25" xfId="0" applyNumberFormat="1" applyFont="1" applyFill="1" applyBorder="1" applyAlignment="1">
      <alignment horizontal="center" vertical="center" wrapText="1"/>
    </xf>
    <xf numFmtId="0" fontId="50" fillId="11" borderId="25" xfId="0" applyFont="1" applyFill="1" applyBorder="1" applyAlignment="1">
      <alignment horizontal="center" vertical="center" wrapText="1"/>
    </xf>
    <xf numFmtId="0" fontId="47" fillId="11" borderId="27" xfId="0" applyFont="1" applyFill="1" applyBorder="1" applyAlignment="1">
      <alignment horizontal="center" vertical="center" wrapText="1"/>
    </xf>
    <xf numFmtId="0" fontId="68" fillId="11" borderId="25" xfId="0" applyFont="1" applyFill="1" applyBorder="1" applyAlignment="1">
      <alignment horizontal="center" vertical="center" wrapText="1"/>
    </xf>
    <xf numFmtId="0" fontId="55" fillId="11" borderId="25" xfId="191" applyFont="1" applyFill="1" applyBorder="1" applyAlignment="1" applyProtection="1">
      <alignment horizontal="center" vertical="center" wrapText="1"/>
    </xf>
    <xf numFmtId="165" fontId="47" fillId="11" borderId="25" xfId="0" applyNumberFormat="1" applyFont="1" applyFill="1" applyBorder="1" applyAlignment="1">
      <alignment horizontal="center" vertical="center" wrapText="1"/>
    </xf>
    <xf numFmtId="165" fontId="50" fillId="47" borderId="25" xfId="0" applyNumberFormat="1" applyFont="1" applyFill="1" applyBorder="1" applyAlignment="1">
      <alignment horizontal="center" vertical="center" wrapText="1"/>
    </xf>
    <xf numFmtId="165" fontId="47" fillId="47" borderId="25" xfId="0" applyNumberFormat="1" applyFont="1" applyFill="1" applyBorder="1" applyAlignment="1">
      <alignment horizontal="center" vertical="center" wrapText="1"/>
    </xf>
    <xf numFmtId="0" fontId="47" fillId="11" borderId="25" xfId="0" applyFont="1" applyFill="1" applyBorder="1" applyAlignment="1">
      <alignment horizontal="left" vertical="center" wrapText="1"/>
    </xf>
    <xf numFmtId="0" fontId="55" fillId="47" borderId="25" xfId="191" applyFont="1" applyFill="1" applyBorder="1" applyAlignment="1" applyProtection="1">
      <alignment horizontal="center" vertical="center" wrapText="1"/>
    </xf>
    <xf numFmtId="10" fontId="47" fillId="47" borderId="25" xfId="0" applyNumberFormat="1" applyFont="1" applyFill="1" applyBorder="1" applyAlignment="1">
      <alignment horizontal="center" vertical="center" wrapText="1"/>
    </xf>
    <xf numFmtId="10" fontId="47" fillId="11" borderId="25" xfId="0" applyNumberFormat="1" applyFont="1" applyFill="1" applyBorder="1" applyAlignment="1">
      <alignment horizontal="center" vertical="center" wrapText="1"/>
    </xf>
    <xf numFmtId="0" fontId="47" fillId="0" borderId="25" xfId="0" applyFont="1" applyBorder="1" applyAlignment="1">
      <alignment horizontal="center" vertical="center"/>
    </xf>
    <xf numFmtId="0" fontId="47" fillId="47" borderId="19" xfId="0" applyFont="1" applyFill="1" applyBorder="1" applyAlignment="1">
      <alignment horizontal="center" vertical="center"/>
    </xf>
    <xf numFmtId="0" fontId="55" fillId="47" borderId="28" xfId="191" applyFont="1" applyFill="1" applyBorder="1" applyAlignment="1" applyProtection="1">
      <alignment horizontal="center" vertical="center" wrapText="1"/>
    </xf>
    <xf numFmtId="0" fontId="47" fillId="47" borderId="28" xfId="191" applyFont="1" applyFill="1" applyBorder="1" applyAlignment="1" applyProtection="1">
      <alignment horizontal="center" vertical="center" wrapText="1"/>
    </xf>
    <xf numFmtId="0" fontId="50" fillId="47" borderId="28" xfId="0" applyFont="1" applyFill="1" applyBorder="1" applyAlignment="1">
      <alignment horizontal="center" vertical="center" wrapText="1"/>
    </xf>
    <xf numFmtId="14" fontId="50" fillId="47" borderId="28" xfId="0" applyNumberFormat="1" applyFont="1" applyFill="1" applyBorder="1" applyAlignment="1">
      <alignment horizontal="center" vertical="center" wrapText="1"/>
    </xf>
    <xf numFmtId="0" fontId="47" fillId="47" borderId="28" xfId="0" applyFont="1" applyFill="1" applyBorder="1" applyAlignment="1">
      <alignment horizontal="center" vertical="center" wrapText="1"/>
    </xf>
    <xf numFmtId="9" fontId="47" fillId="47" borderId="28" xfId="4" applyNumberFormat="1" applyFont="1" applyFill="1" applyBorder="1" applyAlignment="1">
      <alignment horizontal="center" vertical="center" wrapText="1"/>
    </xf>
    <xf numFmtId="0" fontId="47" fillId="47" borderId="17" xfId="0" applyFont="1" applyFill="1" applyBorder="1" applyAlignment="1">
      <alignment horizontal="center" vertical="center" wrapText="1"/>
    </xf>
    <xf numFmtId="0" fontId="45" fillId="47" borderId="25" xfId="0" applyFont="1" applyFill="1" applyBorder="1" applyAlignment="1">
      <alignment horizontal="center"/>
    </xf>
    <xf numFmtId="0" fontId="79" fillId="12" borderId="25" xfId="158" applyFont="1" applyFill="1" applyBorder="1" applyAlignment="1">
      <alignment horizontal="center" vertical="center" wrapText="1"/>
    </xf>
    <xf numFmtId="0" fontId="80" fillId="12" borderId="25" xfId="158" applyFont="1" applyFill="1" applyBorder="1" applyAlignment="1">
      <alignment horizontal="center" vertical="center" wrapText="1"/>
    </xf>
    <xf numFmtId="14" fontId="80" fillId="12" borderId="25" xfId="158" applyNumberFormat="1" applyFont="1" applyFill="1" applyBorder="1" applyAlignment="1">
      <alignment horizontal="center" vertical="center" wrapText="1"/>
    </xf>
    <xf numFmtId="0" fontId="80" fillId="12" borderId="25" xfId="4" applyFont="1" applyFill="1" applyBorder="1" applyAlignment="1">
      <alignment horizontal="center" vertical="center" wrapText="1"/>
    </xf>
    <xf numFmtId="0" fontId="50" fillId="11" borderId="25" xfId="158" applyFont="1" applyFill="1" applyBorder="1" applyAlignment="1">
      <alignment horizontal="center" vertical="center" wrapText="1"/>
    </xf>
    <xf numFmtId="1" fontId="50" fillId="11" borderId="25" xfId="0" applyNumberFormat="1" applyFont="1" applyFill="1" applyBorder="1" applyAlignment="1">
      <alignment horizontal="center" vertical="center" wrapText="1"/>
    </xf>
    <xf numFmtId="9" fontId="50" fillId="11" borderId="25" xfId="4" applyNumberFormat="1" applyFont="1" applyFill="1" applyBorder="1" applyAlignment="1">
      <alignment horizontal="center" vertical="center" wrapText="1"/>
    </xf>
    <xf numFmtId="9" fontId="51" fillId="11" borderId="25" xfId="190" applyFont="1" applyFill="1" applyBorder="1" applyAlignment="1">
      <alignment horizontal="center" vertical="center"/>
    </xf>
    <xf numFmtId="14" fontId="50" fillId="11" borderId="25" xfId="4" applyNumberFormat="1" applyFont="1" applyFill="1" applyBorder="1" applyAlignment="1" applyProtection="1">
      <alignment horizontal="center" vertical="center" wrapText="1"/>
      <protection locked="0"/>
    </xf>
    <xf numFmtId="9" fontId="50" fillId="11" borderId="25" xfId="0" applyNumberFormat="1" applyFont="1" applyFill="1" applyBorder="1" applyAlignment="1">
      <alignment horizontal="center" vertical="center" wrapText="1"/>
    </xf>
    <xf numFmtId="0" fontId="50" fillId="46" borderId="25" xfId="0" applyFont="1" applyFill="1" applyBorder="1" applyAlignment="1" applyProtection="1">
      <alignment horizontal="center" vertical="center" wrapText="1"/>
      <protection locked="0"/>
    </xf>
    <xf numFmtId="14" fontId="50" fillId="45" borderId="25" xfId="0" applyNumberFormat="1" applyFont="1" applyFill="1" applyBorder="1" applyAlignment="1">
      <alignment horizontal="center" vertical="center" wrapText="1"/>
    </xf>
    <xf numFmtId="0" fontId="50" fillId="45" borderId="25" xfId="0" applyFont="1" applyFill="1" applyBorder="1" applyAlignment="1">
      <alignment horizontal="center" vertical="center" wrapText="1"/>
    </xf>
    <xf numFmtId="0" fontId="50" fillId="11" borderId="25" xfId="0" applyFont="1" applyFill="1" applyBorder="1" applyAlignment="1">
      <alignment horizontal="center" vertical="center"/>
    </xf>
    <xf numFmtId="1" fontId="51" fillId="11" borderId="25" xfId="0" applyNumberFormat="1" applyFont="1" applyFill="1" applyBorder="1" applyAlignment="1">
      <alignment horizontal="center" vertical="center" wrapText="1"/>
    </xf>
    <xf numFmtId="0" fontId="51" fillId="45" borderId="25" xfId="0" applyFont="1" applyFill="1" applyBorder="1" applyAlignment="1">
      <alignment horizontal="center" vertical="center"/>
    </xf>
    <xf numFmtId="9" fontId="50" fillId="11" borderId="25" xfId="0" applyNumberFormat="1" applyFont="1" applyFill="1" applyBorder="1" applyAlignment="1">
      <alignment horizontal="center" vertical="center"/>
    </xf>
    <xf numFmtId="14" fontId="50" fillId="11" borderId="25" xfId="0" applyNumberFormat="1" applyFont="1" applyFill="1" applyBorder="1" applyAlignment="1">
      <alignment horizontal="center" vertical="center"/>
    </xf>
    <xf numFmtId="9" fontId="47" fillId="0" borderId="25" xfId="0" applyNumberFormat="1" applyFont="1" applyBorder="1" applyAlignment="1">
      <alignment horizontal="center" vertical="center"/>
    </xf>
    <xf numFmtId="10" fontId="45" fillId="2" borderId="25" xfId="164" applyNumberFormat="1" applyFont="1" applyFill="1" applyBorder="1" applyAlignment="1">
      <alignment horizontal="center" vertical="center"/>
    </xf>
    <xf numFmtId="0" fontId="79" fillId="12" borderId="25" xfId="183" applyFont="1" applyFill="1" applyBorder="1" applyAlignment="1">
      <alignment horizontal="center" vertical="center" wrapText="1"/>
    </xf>
    <xf numFmtId="0" fontId="80" fillId="12" borderId="25" xfId="183" applyFont="1" applyFill="1" applyBorder="1" applyAlignment="1">
      <alignment horizontal="center" vertical="center" wrapText="1"/>
    </xf>
    <xf numFmtId="14" fontId="80" fillId="12" borderId="25" xfId="183" applyNumberFormat="1" applyFont="1" applyFill="1" applyBorder="1" applyAlignment="1">
      <alignment horizontal="center" vertical="center" wrapText="1"/>
    </xf>
    <xf numFmtId="0" fontId="51" fillId="0" borderId="25" xfId="4" applyFont="1" applyBorder="1" applyAlignment="1">
      <alignment horizontal="center" vertical="center"/>
    </xf>
    <xf numFmtId="0" fontId="47" fillId="0" borderId="25" xfId="183" applyFont="1" applyBorder="1" applyAlignment="1">
      <alignment horizontal="center" vertical="center" wrapText="1"/>
    </xf>
    <xf numFmtId="0" fontId="47" fillId="0" borderId="25" xfId="4" applyFont="1" applyBorder="1" applyAlignment="1" applyProtection="1">
      <alignment horizontal="center" vertical="center" wrapText="1"/>
      <protection locked="0"/>
    </xf>
    <xf numFmtId="0" fontId="47" fillId="11" borderId="25" xfId="4" applyFont="1" applyFill="1" applyBorder="1" applyAlignment="1" applyProtection="1">
      <alignment horizontal="center" vertical="center" wrapText="1"/>
      <protection locked="0"/>
    </xf>
    <xf numFmtId="0" fontId="47" fillId="14" borderId="25" xfId="4" applyFont="1" applyFill="1" applyBorder="1" applyAlignment="1" applyProtection="1">
      <alignment horizontal="center" vertical="center" wrapText="1"/>
      <protection locked="0"/>
    </xf>
    <xf numFmtId="0" fontId="47" fillId="23" borderId="25" xfId="4" applyFont="1" applyFill="1" applyBorder="1" applyAlignment="1" applyProtection="1">
      <alignment horizontal="center" vertical="center"/>
      <protection locked="0"/>
    </xf>
    <xf numFmtId="14" fontId="47" fillId="14" borderId="25" xfId="4" applyNumberFormat="1" applyFont="1" applyFill="1" applyBorder="1" applyAlignment="1" applyProtection="1">
      <alignment horizontal="center" vertical="center"/>
      <protection locked="0"/>
    </xf>
    <xf numFmtId="1" fontId="45" fillId="0" borderId="25" xfId="183" applyNumberFormat="1" applyFont="1" applyBorder="1" applyAlignment="1">
      <alignment horizontal="center" vertical="center" wrapText="1"/>
    </xf>
    <xf numFmtId="14" fontId="47" fillId="0" borderId="25" xfId="4" applyNumberFormat="1" applyFont="1" applyBorder="1" applyAlignment="1" applyProtection="1">
      <alignment horizontal="center" vertical="center"/>
      <protection locked="0"/>
    </xf>
    <xf numFmtId="1" fontId="45" fillId="0" borderId="25" xfId="189" applyNumberFormat="1" applyFont="1" applyBorder="1" applyAlignment="1">
      <alignment horizontal="center" vertical="center"/>
    </xf>
    <xf numFmtId="0" fontId="64" fillId="0" borderId="25" xfId="4" applyFont="1" applyBorder="1" applyAlignment="1">
      <alignment horizontal="center" vertical="center" wrapText="1"/>
    </xf>
    <xf numFmtId="0" fontId="50" fillId="0" borderId="25" xfId="183" applyFont="1" applyBorder="1" applyAlignment="1">
      <alignment horizontal="center" vertical="center" wrapText="1"/>
    </xf>
    <xf numFmtId="9" fontId="45" fillId="0" borderId="25" xfId="190" applyFont="1" applyFill="1" applyBorder="1" applyAlignment="1">
      <alignment horizontal="center" vertical="center"/>
    </xf>
    <xf numFmtId="0" fontId="50" fillId="0" borderId="25" xfId="4" applyFont="1" applyBorder="1" applyAlignment="1">
      <alignment horizontal="center" vertical="center" wrapText="1"/>
    </xf>
    <xf numFmtId="0" fontId="51" fillId="11" borderId="25" xfId="4" applyFont="1" applyFill="1" applyBorder="1" applyAlignment="1">
      <alignment horizontal="center" vertical="center"/>
    </xf>
    <xf numFmtId="0" fontId="50" fillId="11" borderId="25" xfId="183" applyFont="1" applyFill="1" applyBorder="1" applyAlignment="1">
      <alignment horizontal="center" vertical="center" wrapText="1"/>
    </xf>
    <xf numFmtId="0" fontId="50" fillId="11" borderId="25" xfId="4" applyFont="1" applyFill="1" applyBorder="1" applyAlignment="1" applyProtection="1">
      <alignment horizontal="center" vertical="center" wrapText="1"/>
      <protection locked="0"/>
    </xf>
    <xf numFmtId="0" fontId="50" fillId="46" borderId="25" xfId="4" applyFont="1" applyFill="1" applyBorder="1" applyAlignment="1" applyProtection="1">
      <alignment horizontal="center" vertical="center" wrapText="1"/>
      <protection locked="0"/>
    </xf>
    <xf numFmtId="0" fontId="50" fillId="11" borderId="25" xfId="4" applyFont="1" applyFill="1" applyBorder="1" applyAlignment="1" applyProtection="1">
      <alignment horizontal="center" vertical="center"/>
      <protection locked="0"/>
    </xf>
    <xf numFmtId="14" fontId="50" fillId="46" borderId="25" xfId="4" applyNumberFormat="1" applyFont="1" applyFill="1" applyBorder="1" applyAlignment="1" applyProtection="1">
      <alignment horizontal="center" vertical="center"/>
      <protection locked="0"/>
    </xf>
    <xf numFmtId="1" fontId="51" fillId="11" borderId="25" xfId="183" applyNumberFormat="1" applyFont="1" applyFill="1" applyBorder="1" applyAlignment="1">
      <alignment horizontal="center" vertical="center" wrapText="1"/>
    </xf>
    <xf numFmtId="14" fontId="50" fillId="11" borderId="25" xfId="4" applyNumberFormat="1" applyFont="1" applyFill="1" applyBorder="1" applyAlignment="1" applyProtection="1">
      <alignment horizontal="center" vertical="center"/>
      <protection locked="0"/>
    </xf>
    <xf numFmtId="1" fontId="51" fillId="11" borderId="25" xfId="189" applyNumberFormat="1" applyFont="1" applyFill="1" applyBorder="1" applyAlignment="1">
      <alignment horizontal="center" vertical="center"/>
    </xf>
    <xf numFmtId="0" fontId="50" fillId="11" borderId="25" xfId="4" applyFont="1" applyFill="1" applyBorder="1" applyAlignment="1">
      <alignment horizontal="center" vertical="center" wrapText="1"/>
    </xf>
    <xf numFmtId="0" fontId="50" fillId="11" borderId="25" xfId="4" applyFont="1" applyFill="1" applyBorder="1" applyAlignment="1">
      <alignment horizontal="center" vertical="center"/>
    </xf>
    <xf numFmtId="9" fontId="50" fillId="11" borderId="25" xfId="4" applyNumberFormat="1" applyFont="1" applyFill="1" applyBorder="1" applyAlignment="1" applyProtection="1">
      <alignment horizontal="center" vertical="center"/>
      <protection locked="0"/>
    </xf>
    <xf numFmtId="0" fontId="51" fillId="11" borderId="25" xfId="4" applyFont="1" applyFill="1" applyBorder="1" applyAlignment="1">
      <alignment horizontal="center" vertical="center" wrapText="1"/>
    </xf>
    <xf numFmtId="0" fontId="51" fillId="11" borderId="25" xfId="0" applyFont="1" applyFill="1" applyBorder="1" applyAlignment="1">
      <alignment horizontal="center" vertical="center" wrapText="1"/>
    </xf>
    <xf numFmtId="0" fontId="50" fillId="0" borderId="3" xfId="188" applyFont="1" applyBorder="1" applyAlignment="1">
      <alignment horizontal="center" vertical="center"/>
    </xf>
    <xf numFmtId="0" fontId="50" fillId="11" borderId="25" xfId="184" applyFont="1" applyFill="1" applyBorder="1" applyAlignment="1">
      <alignment horizontal="center" vertical="center" wrapText="1"/>
    </xf>
    <xf numFmtId="14" fontId="50" fillId="11" borderId="25" xfId="158" applyNumberFormat="1" applyFont="1" applyFill="1" applyBorder="1" applyAlignment="1">
      <alignment horizontal="center" vertical="center" wrapText="1"/>
    </xf>
    <xf numFmtId="1" fontId="51" fillId="11" borderId="25" xfId="189" applyNumberFormat="1" applyFont="1" applyFill="1" applyBorder="1" applyAlignment="1">
      <alignment horizontal="center" vertical="center" wrapText="1"/>
    </xf>
    <xf numFmtId="9" fontId="50" fillId="11" borderId="25" xfId="188" applyNumberFormat="1" applyFont="1" applyFill="1" applyBorder="1" applyAlignment="1">
      <alignment horizontal="center" vertical="center" wrapText="1"/>
    </xf>
    <xf numFmtId="9" fontId="51" fillId="11" borderId="25" xfId="190" applyFont="1" applyFill="1" applyBorder="1" applyAlignment="1">
      <alignment horizontal="center" vertical="center" wrapText="1"/>
    </xf>
    <xf numFmtId="167" fontId="50" fillId="11" borderId="25" xfId="4" applyNumberFormat="1" applyFont="1" applyFill="1" applyBorder="1" applyAlignment="1" applyProtection="1">
      <alignment horizontal="center" vertical="center" wrapText="1"/>
      <protection locked="0"/>
    </xf>
    <xf numFmtId="10" fontId="45" fillId="4" borderId="25" xfId="164" applyNumberFormat="1" applyFont="1" applyFill="1" applyBorder="1" applyAlignment="1">
      <alignment horizontal="center" vertical="center"/>
    </xf>
    <xf numFmtId="0" fontId="50" fillId="4" borderId="25" xfId="188" applyFont="1" applyFill="1" applyBorder="1" applyAlignment="1">
      <alignment horizontal="center" vertical="center"/>
    </xf>
    <xf numFmtId="9" fontId="50" fillId="4" borderId="25" xfId="188" applyNumberFormat="1" applyFont="1" applyFill="1" applyBorder="1" applyAlignment="1">
      <alignment horizontal="center" vertical="center"/>
    </xf>
    <xf numFmtId="14" fontId="50" fillId="0" borderId="8" xfId="188" applyNumberFormat="1" applyFont="1" applyBorder="1" applyAlignment="1">
      <alignment horizontal="center" vertical="center"/>
    </xf>
    <xf numFmtId="0" fontId="51" fillId="15" borderId="25" xfId="158" applyFont="1" applyFill="1" applyBorder="1" applyAlignment="1">
      <alignment horizontal="center" vertical="center" wrapText="1"/>
    </xf>
    <xf numFmtId="0" fontId="45" fillId="24" borderId="25" xfId="0" applyFont="1" applyFill="1" applyBorder="1" applyAlignment="1" applyProtection="1">
      <alignment horizontal="center" vertical="center"/>
      <protection locked="0"/>
    </xf>
    <xf numFmtId="14" fontId="45" fillId="11" borderId="25" xfId="0" applyNumberFormat="1" applyFont="1" applyFill="1" applyBorder="1" applyAlignment="1" applyProtection="1">
      <alignment horizontal="center" vertical="center" wrapText="1"/>
      <protection locked="0"/>
    </xf>
    <xf numFmtId="0" fontId="45" fillId="24" borderId="25" xfId="0" applyFont="1" applyFill="1" applyBorder="1" applyAlignment="1" applyProtection="1">
      <alignment horizontal="center" vertical="center" wrapText="1"/>
      <protection locked="0"/>
    </xf>
    <xf numFmtId="0" fontId="68" fillId="25" borderId="25" xfId="0" applyFont="1" applyFill="1" applyBorder="1" applyAlignment="1" applyProtection="1">
      <alignment horizontal="center" vertical="center" wrapText="1"/>
      <protection locked="0"/>
    </xf>
    <xf numFmtId="0" fontId="68" fillId="28" borderId="25" xfId="0" applyFont="1" applyFill="1" applyBorder="1" applyAlignment="1" applyProtection="1">
      <alignment horizontal="center" vertical="center" wrapText="1"/>
      <protection locked="0"/>
    </xf>
    <xf numFmtId="14" fontId="68" fillId="28" borderId="25" xfId="0" applyNumberFormat="1" applyFont="1" applyFill="1" applyBorder="1" applyAlignment="1" applyProtection="1">
      <alignment horizontal="center" vertical="center" wrapText="1"/>
      <protection locked="0"/>
    </xf>
    <xf numFmtId="0" fontId="69" fillId="28" borderId="25" xfId="0" applyFont="1" applyFill="1" applyBorder="1" applyAlignment="1" applyProtection="1">
      <alignment horizontal="center" vertical="center" wrapText="1"/>
      <protection locked="0"/>
    </xf>
    <xf numFmtId="0" fontId="68" fillId="16" borderId="25" xfId="0" applyFont="1" applyFill="1" applyBorder="1" applyAlignment="1" applyProtection="1">
      <alignment horizontal="center" vertical="center" wrapText="1"/>
      <protection locked="0"/>
    </xf>
    <xf numFmtId="0" fontId="47" fillId="11" borderId="25" xfId="1" applyFont="1" applyFill="1" applyBorder="1" applyAlignment="1" applyProtection="1">
      <alignment horizontal="center" vertical="center" wrapText="1"/>
      <protection locked="0"/>
    </xf>
    <xf numFmtId="0" fontId="47" fillId="45" borderId="25" xfId="0" applyFont="1" applyFill="1" applyBorder="1" applyAlignment="1">
      <alignment horizontal="center" vertical="center" wrapText="1"/>
    </xf>
    <xf numFmtId="0" fontId="47" fillId="11" borderId="25" xfId="0" applyFont="1" applyFill="1" applyBorder="1" applyAlignment="1" applyProtection="1">
      <alignment horizontal="center" vertical="center" wrapText="1"/>
      <protection locked="0"/>
    </xf>
    <xf numFmtId="0" fontId="47" fillId="0" borderId="25" xfId="0" applyFont="1" applyBorder="1" applyAlignment="1">
      <alignment horizontal="center" vertical="center" wrapText="1"/>
    </xf>
    <xf numFmtId="14" fontId="47" fillId="0" borderId="25" xfId="0" applyNumberFormat="1" applyFont="1" applyBorder="1" applyAlignment="1">
      <alignment horizontal="center" vertical="center" wrapText="1"/>
    </xf>
    <xf numFmtId="1" fontId="45" fillId="0" borderId="25" xfId="0" applyNumberFormat="1" applyFont="1" applyBorder="1" applyAlignment="1">
      <alignment horizontal="center" vertical="center"/>
    </xf>
    <xf numFmtId="165" fontId="47" fillId="11" borderId="25" xfId="84" applyNumberFormat="1" applyFont="1" applyFill="1" applyBorder="1" applyAlignment="1">
      <alignment horizontal="center" vertical="center" wrapText="1"/>
    </xf>
    <xf numFmtId="1" fontId="45" fillId="11" borderId="25" xfId="0" applyNumberFormat="1" applyFont="1" applyFill="1" applyBorder="1" applyAlignment="1">
      <alignment horizontal="center" vertical="center"/>
    </xf>
    <xf numFmtId="1" fontId="45" fillId="0" borderId="25" xfId="56" applyNumberFormat="1" applyFont="1" applyBorder="1" applyAlignment="1">
      <alignment horizontal="center" vertical="center"/>
    </xf>
    <xf numFmtId="0" fontId="45" fillId="30" borderId="25" xfId="0" applyFont="1" applyFill="1" applyBorder="1" applyAlignment="1">
      <alignment horizontal="center" vertical="center" wrapText="1"/>
    </xf>
    <xf numFmtId="9" fontId="47" fillId="2" borderId="25" xfId="188" applyNumberFormat="1" applyFont="1" applyFill="1" applyBorder="1" applyAlignment="1">
      <alignment horizontal="center" vertical="center"/>
    </xf>
    <xf numFmtId="9" fontId="45" fillId="0" borderId="25" xfId="187" applyFont="1" applyFill="1" applyBorder="1" applyAlignment="1">
      <alignment horizontal="center" vertical="center"/>
    </xf>
    <xf numFmtId="9" fontId="47" fillId="0" borderId="25" xfId="0" applyNumberFormat="1" applyFont="1" applyBorder="1" applyAlignment="1" applyProtection="1">
      <alignment horizontal="center" vertical="center"/>
      <protection locked="0"/>
    </xf>
    <xf numFmtId="10" fontId="45" fillId="2" borderId="25" xfId="56" applyNumberFormat="1" applyFont="1" applyFill="1" applyBorder="1" applyAlignment="1">
      <alignment horizontal="center" vertical="center"/>
    </xf>
    <xf numFmtId="0" fontId="55" fillId="0" borderId="25" xfId="0" applyFont="1" applyBorder="1" applyAlignment="1">
      <alignment horizontal="center" vertical="center" wrapText="1"/>
    </xf>
    <xf numFmtId="0" fontId="55" fillId="45" borderId="25" xfId="0" applyFont="1" applyFill="1" applyBorder="1" applyAlignment="1">
      <alignment horizontal="center" vertical="center" wrapText="1"/>
    </xf>
    <xf numFmtId="14" fontId="47" fillId="0" borderId="25" xfId="0" applyNumberFormat="1" applyFont="1" applyBorder="1" applyAlignment="1">
      <alignment horizontal="center" vertical="center"/>
    </xf>
    <xf numFmtId="0" fontId="47" fillId="30" borderId="25" xfId="0" applyFont="1" applyFill="1" applyBorder="1" applyAlignment="1">
      <alignment horizontal="center" vertical="center" wrapText="1"/>
    </xf>
    <xf numFmtId="9" fontId="47" fillId="45" borderId="25" xfId="0" applyNumberFormat="1" applyFont="1" applyFill="1" applyBorder="1" applyAlignment="1">
      <alignment horizontal="center" vertical="center" wrapText="1"/>
    </xf>
    <xf numFmtId="9" fontId="47" fillId="30" borderId="25" xfId="0" applyNumberFormat="1" applyFont="1" applyFill="1" applyBorder="1" applyAlignment="1">
      <alignment horizontal="center" vertical="center" wrapText="1"/>
    </xf>
    <xf numFmtId="0" fontId="51" fillId="0" borderId="25" xfId="0" applyFont="1" applyBorder="1" applyAlignment="1">
      <alignment horizontal="center" vertical="center"/>
    </xf>
    <xf numFmtId="1" fontId="51" fillId="0" borderId="25" xfId="0" applyNumberFormat="1" applyFont="1" applyBorder="1" applyAlignment="1">
      <alignment horizontal="center" vertical="center"/>
    </xf>
    <xf numFmtId="0" fontId="47" fillId="0" borderId="25" xfId="0" applyFont="1" applyBorder="1" applyAlignment="1" applyProtection="1">
      <alignment horizontal="center" vertical="center"/>
      <protection locked="0"/>
    </xf>
    <xf numFmtId="9" fontId="50" fillId="0" borderId="25" xfId="187" applyFont="1" applyBorder="1" applyAlignment="1">
      <alignment horizontal="center" vertical="center" wrapText="1"/>
    </xf>
    <xf numFmtId="0" fontId="68" fillId="10" borderId="25" xfId="188" applyFont="1" applyFill="1" applyBorder="1" applyAlignment="1">
      <alignment horizontal="center" vertical="center"/>
    </xf>
    <xf numFmtId="9" fontId="50" fillId="39" borderId="25" xfId="0" applyNumberFormat="1" applyFont="1" applyFill="1" applyBorder="1" applyAlignment="1">
      <alignment horizontal="center" vertical="center" wrapText="1"/>
    </xf>
    <xf numFmtId="0" fontId="51" fillId="0" borderId="25" xfId="0" applyFont="1" applyBorder="1" applyAlignment="1">
      <alignment horizontal="center" vertical="center" wrapText="1"/>
    </xf>
    <xf numFmtId="9" fontId="51" fillId="37" borderId="25" xfId="0" applyNumberFormat="1" applyFont="1" applyFill="1" applyBorder="1" applyAlignment="1">
      <alignment horizontal="center" vertical="center" wrapText="1"/>
    </xf>
    <xf numFmtId="9" fontId="50" fillId="40" borderId="25" xfId="0" applyNumberFormat="1" applyFont="1" applyFill="1" applyBorder="1" applyAlignment="1">
      <alignment horizontal="center" vertical="center" wrapText="1"/>
    </xf>
    <xf numFmtId="0" fontId="51" fillId="0" borderId="14" xfId="0" applyFont="1" applyBorder="1" applyAlignment="1">
      <alignment horizontal="center" vertical="center" wrapText="1"/>
    </xf>
    <xf numFmtId="9" fontId="51" fillId="37" borderId="14" xfId="0" applyNumberFormat="1" applyFont="1" applyFill="1" applyBorder="1" applyAlignment="1">
      <alignment horizontal="center" vertical="center" wrapText="1"/>
    </xf>
    <xf numFmtId="9" fontId="68" fillId="25" borderId="14" xfId="0" applyNumberFormat="1" applyFont="1" applyFill="1" applyBorder="1" applyAlignment="1">
      <alignment horizontal="center" vertical="center" wrapText="1"/>
    </xf>
    <xf numFmtId="9" fontId="50" fillId="40" borderId="14" xfId="0" applyNumberFormat="1" applyFont="1" applyFill="1" applyBorder="1" applyAlignment="1">
      <alignment horizontal="center" vertical="center" wrapText="1"/>
    </xf>
    <xf numFmtId="9" fontId="50" fillId="39" borderId="14" xfId="0" applyNumberFormat="1" applyFont="1" applyFill="1" applyBorder="1" applyAlignment="1">
      <alignment horizontal="center" vertical="center" wrapText="1"/>
    </xf>
    <xf numFmtId="10" fontId="51" fillId="44" borderId="14" xfId="0" applyNumberFormat="1" applyFont="1" applyFill="1" applyBorder="1" applyAlignment="1">
      <alignment horizontal="center" vertical="center" wrapText="1"/>
    </xf>
    <xf numFmtId="0" fontId="51" fillId="37" borderId="14" xfId="0" applyFont="1" applyFill="1" applyBorder="1" applyAlignment="1">
      <alignment horizontal="center" vertical="center" wrapText="1"/>
    </xf>
    <xf numFmtId="10" fontId="68" fillId="16" borderId="25" xfId="0" applyNumberFormat="1" applyFont="1" applyFill="1" applyBorder="1" applyAlignment="1" applyProtection="1">
      <alignment horizontal="center" vertical="center" wrapText="1"/>
      <protection locked="0"/>
    </xf>
    <xf numFmtId="0" fontId="50" fillId="11" borderId="25" xfId="1" applyFont="1" applyFill="1" applyBorder="1" applyAlignment="1" applyProtection="1">
      <alignment horizontal="center" vertical="center" wrapText="1"/>
      <protection locked="0"/>
    </xf>
    <xf numFmtId="0" fontId="50" fillId="0" borderId="25" xfId="0" applyFont="1" applyBorder="1" applyAlignment="1">
      <alignment horizontal="center" vertical="center" wrapText="1"/>
    </xf>
    <xf numFmtId="14" fontId="50" fillId="0" borderId="25" xfId="0" applyNumberFormat="1" applyFont="1" applyBorder="1" applyAlignment="1">
      <alignment horizontal="center" vertical="center" wrapText="1"/>
    </xf>
    <xf numFmtId="14" fontId="50" fillId="30" borderId="25" xfId="0" applyNumberFormat="1" applyFont="1" applyFill="1" applyBorder="1" applyAlignment="1">
      <alignment horizontal="center" vertical="center" wrapText="1"/>
    </xf>
    <xf numFmtId="0" fontId="51" fillId="40" borderId="25" xfId="0" applyFont="1" applyFill="1" applyBorder="1" applyAlignment="1">
      <alignment horizontal="center" vertical="center" wrapText="1"/>
    </xf>
    <xf numFmtId="0" fontId="51" fillId="39" borderId="25" xfId="0" applyFont="1" applyFill="1" applyBorder="1" applyAlignment="1">
      <alignment horizontal="center" vertical="center" wrapText="1"/>
    </xf>
    <xf numFmtId="0" fontId="51" fillId="30" borderId="25" xfId="0" applyFont="1" applyFill="1" applyBorder="1" applyAlignment="1">
      <alignment horizontal="center" vertical="center" wrapText="1"/>
    </xf>
    <xf numFmtId="9" fontId="50" fillId="41" borderId="25" xfId="0" applyNumberFormat="1" applyFont="1" applyFill="1" applyBorder="1" applyAlignment="1">
      <alignment horizontal="center" vertical="center" wrapText="1"/>
    </xf>
    <xf numFmtId="0" fontId="50" fillId="30" borderId="25" xfId="0" applyFont="1" applyFill="1" applyBorder="1" applyAlignment="1">
      <alignment horizontal="center" vertical="center" wrapText="1"/>
    </xf>
    <xf numFmtId="9" fontId="50" fillId="37" borderId="25" xfId="0" applyNumberFormat="1" applyFont="1" applyFill="1" applyBorder="1" applyAlignment="1">
      <alignment horizontal="center" vertical="center" wrapText="1"/>
    </xf>
    <xf numFmtId="9" fontId="51" fillId="0" borderId="25" xfId="0" applyNumberFormat="1" applyFont="1" applyBorder="1" applyAlignment="1">
      <alignment horizontal="center" vertical="center" wrapText="1"/>
    </xf>
    <xf numFmtId="14" fontId="50" fillId="42" borderId="25" xfId="0" applyNumberFormat="1" applyFont="1" applyFill="1" applyBorder="1" applyAlignment="1">
      <alignment horizontal="center" vertical="center" wrapText="1"/>
    </xf>
    <xf numFmtId="9" fontId="50" fillId="0" borderId="25" xfId="0" applyNumberFormat="1" applyFont="1" applyBorder="1" applyAlignment="1">
      <alignment horizontal="center" vertical="center" wrapText="1"/>
    </xf>
    <xf numFmtId="0" fontId="50" fillId="0" borderId="25" xfId="0" applyFont="1" applyBorder="1" applyAlignment="1">
      <alignment horizontal="center" vertical="center"/>
    </xf>
    <xf numFmtId="9" fontId="50" fillId="43" borderId="25" xfId="0" applyNumberFormat="1" applyFont="1" applyFill="1" applyBorder="1" applyAlignment="1">
      <alignment horizontal="center" vertical="center" wrapText="1"/>
    </xf>
    <xf numFmtId="0" fontId="51" fillId="41" borderId="25" xfId="0" applyFont="1" applyFill="1" applyBorder="1" applyAlignment="1">
      <alignment horizontal="center" vertical="center" wrapText="1"/>
    </xf>
    <xf numFmtId="0" fontId="45" fillId="0" borderId="25" xfId="0" applyFont="1" applyBorder="1" applyAlignment="1" applyProtection="1">
      <alignment horizontal="center" vertical="center" wrapText="1"/>
      <protection locked="0"/>
    </xf>
    <xf numFmtId="14" fontId="50" fillId="11" borderId="25" xfId="1" applyNumberFormat="1" applyFont="1" applyFill="1" applyBorder="1" applyAlignment="1" applyProtection="1">
      <alignment horizontal="center" vertical="center" wrapText="1"/>
      <protection locked="0"/>
    </xf>
    <xf numFmtId="1" fontId="51" fillId="0" borderId="25" xfId="0" applyNumberFormat="1" applyFont="1" applyBorder="1" applyAlignment="1">
      <alignment horizontal="center" vertical="center" wrapText="1"/>
    </xf>
    <xf numFmtId="165" fontId="50" fillId="11" borderId="25" xfId="84" applyNumberFormat="1" applyFont="1" applyFill="1" applyBorder="1" applyAlignment="1">
      <alignment horizontal="center" vertical="center" wrapText="1"/>
    </xf>
    <xf numFmtId="1" fontId="51" fillId="0" borderId="25" xfId="56" applyNumberFormat="1" applyFont="1" applyBorder="1" applyAlignment="1">
      <alignment horizontal="center" vertical="center" wrapText="1"/>
    </xf>
    <xf numFmtId="166" fontId="50" fillId="11" borderId="25" xfId="84" applyNumberFormat="1" applyFont="1" applyFill="1" applyBorder="1" applyAlignment="1">
      <alignment horizontal="center" vertical="center" wrapText="1"/>
    </xf>
    <xf numFmtId="9" fontId="50" fillId="2" borderId="25" xfId="188" applyNumberFormat="1" applyFont="1" applyFill="1" applyBorder="1" applyAlignment="1">
      <alignment horizontal="center" vertical="center" wrapText="1"/>
    </xf>
    <xf numFmtId="9" fontId="51" fillId="0" borderId="25" xfId="187" applyFont="1" applyFill="1" applyBorder="1" applyAlignment="1">
      <alignment horizontal="center" vertical="center" wrapText="1"/>
    </xf>
    <xf numFmtId="0" fontId="50" fillId="11" borderId="25" xfId="84" applyFont="1" applyFill="1" applyBorder="1" applyAlignment="1">
      <alignment horizontal="center" vertical="center" wrapText="1"/>
    </xf>
    <xf numFmtId="9" fontId="50" fillId="0" borderId="25" xfId="0" applyNumberFormat="1" applyFont="1" applyBorder="1" applyAlignment="1" applyProtection="1">
      <alignment horizontal="center" vertical="center" wrapText="1"/>
      <protection locked="0"/>
    </xf>
    <xf numFmtId="10" fontId="51" fillId="2" borderId="25" xfId="56" applyNumberFormat="1" applyFont="1" applyFill="1" applyBorder="1" applyAlignment="1">
      <alignment horizontal="center" vertical="center" wrapText="1"/>
    </xf>
    <xf numFmtId="46" fontId="50" fillId="0" borderId="25" xfId="0" applyNumberFormat="1" applyFont="1" applyBorder="1" applyAlignment="1">
      <alignment horizontal="center" vertical="center" wrapText="1"/>
    </xf>
    <xf numFmtId="9" fontId="50" fillId="11" borderId="25" xfId="1" applyNumberFormat="1" applyFont="1" applyFill="1" applyBorder="1" applyAlignment="1" applyProtection="1">
      <alignment horizontal="center" vertical="center" wrapText="1"/>
      <protection locked="0"/>
    </xf>
    <xf numFmtId="9" fontId="51" fillId="2" borderId="25" xfId="56" applyNumberFormat="1" applyFont="1" applyFill="1" applyBorder="1" applyAlignment="1">
      <alignment horizontal="center" vertical="center" wrapText="1"/>
    </xf>
    <xf numFmtId="10" fontId="45" fillId="2" borderId="25" xfId="56" applyNumberFormat="1" applyFont="1" applyFill="1" applyBorder="1" applyAlignment="1">
      <alignment horizontal="center" vertical="center" wrapText="1"/>
    </xf>
    <xf numFmtId="9" fontId="47" fillId="0" borderId="0" xfId="187" applyFont="1" applyFill="1" applyBorder="1" applyAlignment="1">
      <alignment horizontal="center" vertical="center" wrapText="1"/>
    </xf>
    <xf numFmtId="166" fontId="51" fillId="0" borderId="25" xfId="0" applyNumberFormat="1" applyFont="1" applyBorder="1" applyAlignment="1">
      <alignment horizontal="center" vertical="center" wrapText="1"/>
    </xf>
    <xf numFmtId="9" fontId="47" fillId="2" borderId="25" xfId="188" applyNumberFormat="1" applyFont="1" applyFill="1" applyBorder="1" applyAlignment="1">
      <alignment horizontal="center" vertical="center" wrapText="1"/>
    </xf>
    <xf numFmtId="0" fontId="45" fillId="0" borderId="25" xfId="174" applyFont="1" applyBorder="1" applyAlignment="1" applyProtection="1">
      <alignment horizontal="center" vertical="center" wrapText="1"/>
      <protection locked="0"/>
    </xf>
    <xf numFmtId="0" fontId="68" fillId="25" borderId="25" xfId="174" applyFont="1" applyFill="1" applyBorder="1" applyAlignment="1" applyProtection="1">
      <alignment horizontal="center" vertical="center" wrapText="1"/>
      <protection locked="0"/>
    </xf>
    <xf numFmtId="0" fontId="68" fillId="28" borderId="25" xfId="174" applyFont="1" applyFill="1" applyBorder="1" applyAlignment="1" applyProtection="1">
      <alignment horizontal="center" vertical="center" wrapText="1"/>
      <protection locked="0"/>
    </xf>
    <xf numFmtId="0" fontId="68" fillId="16" borderId="25" xfId="174" applyFont="1" applyFill="1" applyBorder="1" applyAlignment="1" applyProtection="1">
      <alignment horizontal="center" vertical="center" wrapText="1"/>
      <protection locked="0"/>
    </xf>
    <xf numFmtId="0" fontId="50" fillId="0" borderId="25" xfId="1" applyFont="1" applyFill="1" applyBorder="1" applyAlignment="1">
      <alignment horizontal="center" vertical="center" wrapText="1"/>
    </xf>
    <xf numFmtId="0" fontId="50" fillId="0" borderId="25" xfId="26" applyFont="1" applyBorder="1" applyAlignment="1">
      <alignment horizontal="center" vertical="center" wrapText="1"/>
    </xf>
    <xf numFmtId="0" fontId="50" fillId="11" borderId="25" xfId="26" applyFont="1" applyFill="1" applyBorder="1" applyAlignment="1">
      <alignment horizontal="center" vertical="center" wrapText="1"/>
    </xf>
    <xf numFmtId="49" fontId="50" fillId="11" borderId="25" xfId="174" applyNumberFormat="1" applyFont="1" applyFill="1" applyBorder="1" applyAlignment="1" applyProtection="1">
      <alignment horizontal="center" vertical="center" wrapText="1"/>
      <protection locked="0"/>
    </xf>
    <xf numFmtId="0" fontId="50" fillId="11" borderId="25" xfId="174" applyFont="1" applyFill="1" applyBorder="1" applyAlignment="1" applyProtection="1">
      <alignment horizontal="center" vertical="center" wrapText="1"/>
      <protection locked="0"/>
    </xf>
    <xf numFmtId="14" fontId="50" fillId="11" borderId="25" xfId="26" applyNumberFormat="1" applyFont="1" applyFill="1" applyBorder="1" applyAlignment="1">
      <alignment horizontal="center" vertical="center" wrapText="1"/>
    </xf>
    <xf numFmtId="1" fontId="51" fillId="0" borderId="25" xfId="174" applyNumberFormat="1" applyFont="1" applyBorder="1" applyAlignment="1">
      <alignment horizontal="center" vertical="center" wrapText="1"/>
    </xf>
    <xf numFmtId="14" fontId="50" fillId="11" borderId="25" xfId="192" applyNumberFormat="1" applyFont="1" applyFill="1" applyBorder="1" applyAlignment="1">
      <alignment horizontal="center" vertical="center" wrapText="1"/>
    </xf>
    <xf numFmtId="1" fontId="51" fillId="11" borderId="25" xfId="174" applyNumberFormat="1" applyFont="1" applyFill="1" applyBorder="1" applyAlignment="1">
      <alignment horizontal="center" vertical="center" wrapText="1"/>
    </xf>
    <xf numFmtId="1" fontId="51" fillId="0" borderId="25" xfId="177" applyNumberFormat="1" applyFont="1" applyBorder="1" applyAlignment="1">
      <alignment horizontal="center" vertical="center" wrapText="1"/>
    </xf>
    <xf numFmtId="0" fontId="51" fillId="11" borderId="25" xfId="192" applyFont="1" applyFill="1" applyBorder="1" applyAlignment="1">
      <alignment horizontal="center" vertical="center" wrapText="1"/>
    </xf>
    <xf numFmtId="9" fontId="50" fillId="2" borderId="25" xfId="178" applyNumberFormat="1" applyFont="1" applyFill="1" applyBorder="1" applyAlignment="1">
      <alignment horizontal="center" vertical="center" wrapText="1"/>
    </xf>
    <xf numFmtId="9" fontId="51" fillId="0" borderId="25" xfId="179" applyFont="1" applyFill="1" applyBorder="1" applyAlignment="1">
      <alignment horizontal="center" vertical="center" wrapText="1"/>
    </xf>
    <xf numFmtId="9" fontId="50" fillId="11" borderId="25" xfId="27" applyFont="1" applyFill="1" applyBorder="1" applyAlignment="1">
      <alignment horizontal="center" vertical="center" wrapText="1"/>
    </xf>
    <xf numFmtId="0" fontId="50" fillId="0" borderId="25" xfId="174" applyFont="1" applyBorder="1" applyAlignment="1">
      <alignment horizontal="center" vertical="center" wrapText="1"/>
    </xf>
    <xf numFmtId="9" fontId="50" fillId="0" borderId="25" xfId="174" applyNumberFormat="1" applyFont="1" applyBorder="1" applyAlignment="1" applyProtection="1">
      <alignment horizontal="center" vertical="center" wrapText="1"/>
      <protection locked="0"/>
    </xf>
    <xf numFmtId="9" fontId="51" fillId="2" borderId="25" xfId="177" applyNumberFormat="1" applyFont="1" applyFill="1" applyBorder="1" applyAlignment="1">
      <alignment horizontal="center" vertical="center" wrapText="1"/>
    </xf>
    <xf numFmtId="9" fontId="50" fillId="0" borderId="25" xfId="179" applyFont="1" applyBorder="1" applyAlignment="1">
      <alignment horizontal="center" vertical="center" wrapText="1"/>
    </xf>
    <xf numFmtId="0" fontId="50" fillId="0" borderId="25" xfId="192" applyFont="1" applyBorder="1" applyAlignment="1">
      <alignment horizontal="center" vertical="center" wrapText="1"/>
    </xf>
    <xf numFmtId="0" fontId="50" fillId="11" borderId="25" xfId="174" applyFont="1" applyFill="1" applyBorder="1" applyAlignment="1">
      <alignment horizontal="center" vertical="center" wrapText="1"/>
    </xf>
    <xf numFmtId="0" fontId="50" fillId="11" borderId="25" xfId="192" applyFont="1" applyFill="1" applyBorder="1" applyAlignment="1">
      <alignment horizontal="center" vertical="center" wrapText="1"/>
    </xf>
    <xf numFmtId="0" fontId="73" fillId="0" borderId="25" xfId="192" applyFont="1" applyBorder="1" applyAlignment="1">
      <alignment horizontal="center" vertical="center" wrapText="1"/>
    </xf>
    <xf numFmtId="0" fontId="68" fillId="10" borderId="25" xfId="178" applyFont="1" applyFill="1" applyBorder="1" applyAlignment="1">
      <alignment horizontal="center" vertical="center" wrapText="1"/>
    </xf>
    <xf numFmtId="9" fontId="45" fillId="2" borderId="25" xfId="177" applyNumberFormat="1" applyFont="1" applyFill="1" applyBorder="1" applyAlignment="1">
      <alignment horizontal="center" vertical="center" wrapText="1"/>
    </xf>
    <xf numFmtId="0" fontId="51" fillId="0" borderId="25" xfId="174" applyFont="1" applyBorder="1" applyAlignment="1">
      <alignment horizontal="center" vertical="center" wrapText="1"/>
    </xf>
    <xf numFmtId="1" fontId="50" fillId="11" borderId="25" xfId="84" applyNumberFormat="1" applyFont="1" applyFill="1" applyBorder="1" applyAlignment="1">
      <alignment horizontal="center" vertical="center" wrapText="1"/>
    </xf>
    <xf numFmtId="0" fontId="50" fillId="11" borderId="25" xfId="0" applyFont="1" applyFill="1" applyBorder="1" applyAlignment="1" applyProtection="1">
      <alignment horizontal="center" vertical="center" wrapText="1"/>
      <protection locked="0"/>
    </xf>
    <xf numFmtId="1" fontId="51" fillId="11" borderId="25" xfId="0" applyNumberFormat="1" applyFont="1" applyFill="1" applyBorder="1" applyAlignment="1">
      <alignment horizontal="center" vertical="center"/>
    </xf>
    <xf numFmtId="1" fontId="51" fillId="0" borderId="25" xfId="56" applyNumberFormat="1" applyFont="1" applyBorder="1" applyAlignment="1">
      <alignment horizontal="center" vertical="center"/>
    </xf>
    <xf numFmtId="9" fontId="50" fillId="2" borderId="25" xfId="188" applyNumberFormat="1" applyFont="1" applyFill="1" applyBorder="1" applyAlignment="1">
      <alignment horizontal="center" vertical="center"/>
    </xf>
    <xf numFmtId="9" fontId="51" fillId="0" borderId="25" xfId="187" applyFont="1" applyBorder="1" applyAlignment="1">
      <alignment horizontal="center" vertical="center"/>
    </xf>
    <xf numFmtId="9" fontId="50" fillId="0" borderId="25" xfId="0" applyNumberFormat="1" applyFont="1" applyBorder="1" applyAlignment="1" applyProtection="1">
      <alignment horizontal="center" vertical="center"/>
      <protection locked="0"/>
    </xf>
    <xf numFmtId="9" fontId="51" fillId="2" borderId="25" xfId="56" applyNumberFormat="1" applyFont="1" applyFill="1" applyBorder="1" applyAlignment="1">
      <alignment horizontal="center" vertical="center"/>
    </xf>
    <xf numFmtId="0" fontId="50" fillId="11" borderId="25" xfId="84" applyFont="1" applyFill="1" applyBorder="1" applyAlignment="1">
      <alignment horizontal="center" vertical="center"/>
    </xf>
    <xf numFmtId="166" fontId="50" fillId="11" borderId="25" xfId="84" applyNumberFormat="1" applyFont="1" applyFill="1" applyBorder="1" applyAlignment="1">
      <alignment horizontal="center" vertical="center"/>
    </xf>
    <xf numFmtId="9" fontId="50" fillId="11" borderId="25" xfId="84" applyNumberFormat="1" applyFont="1" applyFill="1" applyBorder="1" applyAlignment="1">
      <alignment horizontal="center" vertical="center" wrapText="1"/>
    </xf>
    <xf numFmtId="0" fontId="50" fillId="0" borderId="25" xfId="1" applyFont="1" applyFill="1" applyBorder="1" applyAlignment="1" applyProtection="1">
      <alignment horizontal="center" vertical="center" wrapText="1"/>
      <protection locked="0"/>
    </xf>
    <xf numFmtId="0" fontId="50" fillId="0" borderId="25" xfId="84" applyFont="1" applyBorder="1" applyAlignment="1">
      <alignment horizontal="center" vertical="center" wrapText="1"/>
    </xf>
    <xf numFmtId="0" fontId="50" fillId="0" borderId="25" xfId="0" applyFont="1" applyBorder="1" applyAlignment="1" applyProtection="1">
      <alignment horizontal="center" vertical="center" wrapText="1"/>
      <protection locked="0"/>
    </xf>
    <xf numFmtId="166" fontId="50" fillId="0" borderId="25" xfId="84" applyNumberFormat="1" applyFont="1" applyBorder="1" applyAlignment="1">
      <alignment horizontal="center" vertical="center"/>
    </xf>
    <xf numFmtId="0" fontId="50" fillId="11" borderId="25" xfId="1" applyFont="1" applyFill="1" applyBorder="1" applyAlignment="1">
      <alignment horizontal="center" vertical="center" wrapText="1"/>
    </xf>
    <xf numFmtId="0" fontId="50" fillId="0" borderId="25" xfId="185" applyFont="1" applyBorder="1" applyAlignment="1">
      <alignment horizontal="center" vertical="center" wrapText="1"/>
    </xf>
    <xf numFmtId="165" fontId="50" fillId="0" borderId="25" xfId="185" applyNumberFormat="1" applyFont="1" applyBorder="1" applyAlignment="1">
      <alignment horizontal="center" vertical="center" wrapText="1"/>
    </xf>
    <xf numFmtId="10" fontId="51" fillId="2" borderId="25" xfId="177" applyNumberFormat="1" applyFont="1" applyFill="1" applyBorder="1" applyAlignment="1">
      <alignment horizontal="center" vertical="center" wrapText="1"/>
    </xf>
    <xf numFmtId="9" fontId="50" fillId="11" borderId="25" xfId="1" applyNumberFormat="1" applyFont="1" applyFill="1" applyBorder="1" applyAlignment="1">
      <alignment horizontal="center" vertical="center" wrapText="1"/>
    </xf>
    <xf numFmtId="0" fontId="50" fillId="11" borderId="25" xfId="185" applyFont="1" applyFill="1" applyBorder="1" applyAlignment="1">
      <alignment horizontal="center" vertical="center" wrapText="1"/>
    </xf>
    <xf numFmtId="1" fontId="50" fillId="0" borderId="25" xfId="185" applyNumberFormat="1" applyFont="1" applyBorder="1" applyAlignment="1">
      <alignment horizontal="center" vertical="center" wrapText="1"/>
    </xf>
    <xf numFmtId="9" fontId="50" fillId="0" borderId="25" xfId="185" applyNumberFormat="1" applyFont="1" applyBorder="1" applyAlignment="1">
      <alignment horizontal="center" vertical="center" wrapText="1"/>
    </xf>
    <xf numFmtId="0" fontId="45" fillId="0" borderId="25" xfId="166" applyFont="1" applyBorder="1" applyAlignment="1" applyProtection="1">
      <alignment horizontal="center" vertical="center"/>
      <protection locked="0"/>
    </xf>
    <xf numFmtId="0" fontId="68" fillId="25" borderId="25" xfId="166" applyFont="1" applyFill="1" applyBorder="1" applyAlignment="1" applyProtection="1">
      <alignment horizontal="center" vertical="center" wrapText="1"/>
      <protection locked="0"/>
    </xf>
    <xf numFmtId="0" fontId="68" fillId="28" borderId="25" xfId="166" applyFont="1" applyFill="1" applyBorder="1" applyAlignment="1" applyProtection="1">
      <alignment horizontal="center" vertical="center" wrapText="1"/>
      <protection locked="0"/>
    </xf>
    <xf numFmtId="0" fontId="68" fillId="16" borderId="25" xfId="166" applyFont="1" applyFill="1" applyBorder="1" applyAlignment="1" applyProtection="1">
      <alignment horizontal="center" vertical="center" wrapText="1"/>
      <protection locked="0"/>
    </xf>
    <xf numFmtId="49" fontId="50" fillId="11" borderId="25" xfId="4" applyNumberFormat="1" applyFont="1" applyFill="1" applyBorder="1" applyAlignment="1" applyProtection="1">
      <alignment horizontal="center" vertical="center" wrapText="1"/>
      <protection locked="0"/>
    </xf>
    <xf numFmtId="0" fontId="50" fillId="11" borderId="25" xfId="20" applyNumberFormat="1" applyFont="1" applyFill="1" applyBorder="1" applyAlignment="1" applyProtection="1">
      <alignment horizontal="center" vertical="center" wrapText="1"/>
      <protection hidden="1"/>
    </xf>
    <xf numFmtId="0" fontId="50" fillId="11" borderId="25" xfId="166" applyFont="1" applyFill="1" applyBorder="1" applyAlignment="1" applyProtection="1">
      <alignment horizontal="center" vertical="center" wrapText="1"/>
      <protection locked="0"/>
    </xf>
    <xf numFmtId="165" fontId="50" fillId="0" borderId="25" xfId="4" applyNumberFormat="1" applyFont="1" applyBorder="1" applyAlignment="1">
      <alignment horizontal="center" vertical="center" wrapText="1"/>
    </xf>
    <xf numFmtId="1" fontId="51" fillId="0" borderId="25" xfId="166" applyNumberFormat="1" applyFont="1" applyBorder="1" applyAlignment="1">
      <alignment horizontal="center" vertical="center"/>
    </xf>
    <xf numFmtId="165" fontId="50" fillId="11" borderId="25" xfId="172" applyNumberFormat="1" applyFont="1" applyFill="1" applyBorder="1" applyAlignment="1">
      <alignment horizontal="center" vertical="center" wrapText="1"/>
    </xf>
    <xf numFmtId="165" fontId="50" fillId="0" borderId="25" xfId="173" applyNumberFormat="1" applyFont="1" applyBorder="1" applyAlignment="1">
      <alignment horizontal="center" vertical="center" wrapText="1"/>
    </xf>
    <xf numFmtId="1" fontId="51" fillId="11" borderId="25" xfId="166" applyNumberFormat="1" applyFont="1" applyFill="1" applyBorder="1" applyAlignment="1">
      <alignment horizontal="center" vertical="center"/>
    </xf>
    <xf numFmtId="1" fontId="51" fillId="0" borderId="25" xfId="168" applyNumberFormat="1" applyFont="1" applyBorder="1" applyAlignment="1">
      <alignment horizontal="center" vertical="center"/>
    </xf>
    <xf numFmtId="166" fontId="50" fillId="11" borderId="25" xfId="173" applyNumberFormat="1" applyFont="1" applyFill="1" applyBorder="1" applyAlignment="1">
      <alignment horizontal="center" vertical="center" wrapText="1"/>
    </xf>
    <xf numFmtId="9" fontId="50" fillId="2" borderId="25" xfId="172" applyNumberFormat="1" applyFont="1" applyFill="1" applyBorder="1" applyAlignment="1">
      <alignment horizontal="center" vertical="center"/>
    </xf>
    <xf numFmtId="9" fontId="51" fillId="0" borderId="25" xfId="170" applyFont="1" applyFill="1" applyBorder="1" applyAlignment="1">
      <alignment horizontal="center" vertical="center"/>
    </xf>
    <xf numFmtId="0" fontId="50" fillId="11" borderId="25" xfId="173" applyFont="1" applyFill="1" applyBorder="1" applyAlignment="1">
      <alignment horizontal="center" vertical="center" wrapText="1"/>
    </xf>
    <xf numFmtId="0" fontId="50" fillId="0" borderId="25" xfId="166" applyFont="1" applyBorder="1" applyAlignment="1">
      <alignment horizontal="center" vertical="center" wrapText="1"/>
    </xf>
    <xf numFmtId="9" fontId="50" fillId="0" borderId="25" xfId="166" applyNumberFormat="1" applyFont="1" applyBorder="1" applyAlignment="1" applyProtection="1">
      <alignment horizontal="center" vertical="center"/>
      <protection locked="0"/>
    </xf>
    <xf numFmtId="9" fontId="51" fillId="2" borderId="25" xfId="168" applyNumberFormat="1" applyFont="1" applyFill="1" applyBorder="1" applyAlignment="1">
      <alignment horizontal="center" vertical="center"/>
    </xf>
    <xf numFmtId="9" fontId="50" fillId="0" borderId="25" xfId="170" applyFont="1" applyBorder="1" applyAlignment="1">
      <alignment horizontal="center" vertical="center" wrapText="1"/>
    </xf>
    <xf numFmtId="165" fontId="50" fillId="11" borderId="25" xfId="173" applyNumberFormat="1" applyFont="1" applyFill="1" applyBorder="1" applyAlignment="1">
      <alignment horizontal="center" vertical="center" wrapText="1"/>
    </xf>
    <xf numFmtId="0" fontId="50" fillId="11" borderId="25" xfId="173" applyFont="1" applyFill="1" applyBorder="1" applyAlignment="1">
      <alignment horizontal="center" vertical="center"/>
    </xf>
    <xf numFmtId="166" fontId="50" fillId="11" borderId="25" xfId="173" applyNumberFormat="1" applyFont="1" applyFill="1" applyBorder="1" applyAlignment="1">
      <alignment horizontal="center" vertical="center"/>
    </xf>
    <xf numFmtId="49" fontId="50" fillId="0" borderId="25" xfId="4" applyNumberFormat="1" applyFont="1" applyBorder="1" applyAlignment="1" applyProtection="1">
      <alignment horizontal="center" vertical="center" wrapText="1"/>
      <protection locked="0"/>
    </xf>
    <xf numFmtId="0" fontId="51" fillId="0" borderId="25" xfId="166" applyFont="1" applyBorder="1" applyAlignment="1">
      <alignment horizontal="center" vertical="center" wrapText="1"/>
    </xf>
    <xf numFmtId="165" fontId="50" fillId="0" borderId="25" xfId="172" applyNumberFormat="1" applyFont="1" applyBorder="1" applyAlignment="1">
      <alignment horizontal="center" vertical="center" wrapText="1"/>
    </xf>
    <xf numFmtId="9" fontId="45" fillId="2" borderId="25" xfId="168" applyNumberFormat="1" applyFont="1" applyFill="1" applyBorder="1" applyAlignment="1">
      <alignment horizontal="center" vertical="center"/>
    </xf>
    <xf numFmtId="10" fontId="45" fillId="2" borderId="25" xfId="168" applyNumberFormat="1" applyFont="1" applyFill="1" applyBorder="1" applyAlignment="1">
      <alignment horizontal="center" vertical="center"/>
    </xf>
    <xf numFmtId="9" fontId="47" fillId="0" borderId="0" xfId="170" applyFont="1" applyFill="1" applyBorder="1" applyAlignment="1">
      <alignment horizontal="center" vertical="center"/>
    </xf>
    <xf numFmtId="166" fontId="51" fillId="0" borderId="25" xfId="166" applyNumberFormat="1" applyFont="1" applyBorder="1" applyAlignment="1">
      <alignment horizontal="center" vertical="center"/>
    </xf>
    <xf numFmtId="1" fontId="50" fillId="11" borderId="25" xfId="173" applyNumberFormat="1" applyFont="1" applyFill="1" applyBorder="1" applyAlignment="1">
      <alignment horizontal="center" vertical="center" wrapText="1"/>
    </xf>
    <xf numFmtId="165" fontId="50" fillId="0" borderId="25" xfId="4" applyNumberFormat="1" applyFont="1" applyBorder="1" applyAlignment="1">
      <alignment horizontal="center" vertical="center"/>
    </xf>
    <xf numFmtId="10" fontId="51" fillId="2" borderId="25" xfId="168" applyNumberFormat="1" applyFont="1" applyFill="1" applyBorder="1" applyAlignment="1">
      <alignment horizontal="center" vertical="center"/>
    </xf>
    <xf numFmtId="49" fontId="50" fillId="0" borderId="25" xfId="166" applyNumberFormat="1" applyFont="1" applyBorder="1" applyAlignment="1" applyProtection="1">
      <alignment horizontal="center" vertical="center" wrapText="1"/>
      <protection locked="0"/>
    </xf>
    <xf numFmtId="0" fontId="50" fillId="0" borderId="25" xfId="20" applyNumberFormat="1" applyFont="1" applyFill="1" applyBorder="1" applyAlignment="1" applyProtection="1">
      <alignment horizontal="center" vertical="center" wrapText="1"/>
      <protection hidden="1"/>
    </xf>
    <xf numFmtId="9" fontId="50" fillId="0" borderId="25" xfId="170" applyFont="1" applyFill="1" applyBorder="1" applyAlignment="1">
      <alignment horizontal="center" vertical="center" wrapText="1"/>
    </xf>
    <xf numFmtId="14" fontId="50" fillId="0" borderId="25" xfId="4" applyNumberFormat="1" applyFont="1" applyBorder="1" applyAlignment="1">
      <alignment horizontal="center" vertical="center" wrapText="1"/>
    </xf>
    <xf numFmtId="0" fontId="50" fillId="0" borderId="25" xfId="4" applyFont="1" applyBorder="1" applyAlignment="1" applyProtection="1">
      <alignment horizontal="center" vertical="center" wrapText="1"/>
      <protection locked="0"/>
    </xf>
    <xf numFmtId="0" fontId="50" fillId="11" borderId="25" xfId="166" applyFont="1" applyFill="1" applyBorder="1" applyAlignment="1" applyProtection="1">
      <alignment horizontal="center" vertical="center"/>
      <protection locked="0"/>
    </xf>
    <xf numFmtId="0" fontId="50" fillId="0" borderId="27" xfId="4" applyFont="1" applyBorder="1" applyAlignment="1">
      <alignment horizontal="center" vertical="center" wrapText="1"/>
    </xf>
    <xf numFmtId="9" fontId="50" fillId="2" borderId="26" xfId="172" applyNumberFormat="1" applyFont="1" applyFill="1" applyBorder="1" applyAlignment="1">
      <alignment horizontal="center" vertical="center"/>
    </xf>
    <xf numFmtId="166" fontId="50" fillId="0" borderId="25" xfId="4" applyNumberFormat="1" applyFont="1" applyBorder="1" applyAlignment="1">
      <alignment horizontal="center" vertical="center" wrapText="1"/>
    </xf>
    <xf numFmtId="9" fontId="50" fillId="0" borderId="25" xfId="4" applyNumberFormat="1" applyFont="1" applyBorder="1" applyAlignment="1">
      <alignment horizontal="center" vertical="center" wrapText="1"/>
    </xf>
    <xf numFmtId="14" fontId="50" fillId="0" borderId="25" xfId="167" applyNumberFormat="1" applyFont="1" applyBorder="1" applyAlignment="1">
      <alignment horizontal="center" vertical="center" wrapText="1"/>
    </xf>
    <xf numFmtId="0" fontId="68" fillId="25" borderId="25" xfId="151" applyFont="1" applyFill="1" applyBorder="1" applyAlignment="1" applyProtection="1">
      <alignment horizontal="center" vertical="center" wrapText="1"/>
      <protection locked="0"/>
    </xf>
    <xf numFmtId="0" fontId="68" fillId="28" borderId="25" xfId="151" applyFont="1" applyFill="1" applyBorder="1" applyAlignment="1" applyProtection="1">
      <alignment horizontal="center" vertical="center" wrapText="1"/>
      <protection locked="0"/>
    </xf>
    <xf numFmtId="0" fontId="68" fillId="16" borderId="25" xfId="151" applyFont="1" applyFill="1" applyBorder="1" applyAlignment="1" applyProtection="1">
      <alignment horizontal="center" vertical="center" wrapText="1"/>
      <protection locked="0"/>
    </xf>
    <xf numFmtId="49" fontId="50" fillId="11" borderId="25" xfId="151" applyNumberFormat="1" applyFont="1" applyFill="1" applyBorder="1" applyAlignment="1" applyProtection="1">
      <alignment horizontal="center" vertical="center" wrapText="1"/>
      <protection locked="0"/>
    </xf>
    <xf numFmtId="0" fontId="50" fillId="11" borderId="25" xfId="151" applyFont="1" applyFill="1" applyBorder="1" applyAlignment="1" applyProtection="1">
      <alignment horizontal="center" vertical="center" wrapText="1"/>
      <protection locked="0"/>
    </xf>
    <xf numFmtId="165" fontId="50" fillId="11" borderId="25" xfId="152" applyNumberFormat="1" applyFont="1" applyFill="1" applyBorder="1" applyAlignment="1">
      <alignment horizontal="center" vertical="center" wrapText="1"/>
    </xf>
    <xf numFmtId="165" fontId="50" fillId="11" borderId="25" xfId="151" applyNumberFormat="1" applyFont="1" applyFill="1" applyBorder="1" applyAlignment="1" applyProtection="1">
      <alignment horizontal="center" vertical="center" wrapText="1"/>
      <protection locked="0"/>
    </xf>
    <xf numFmtId="1" fontId="51" fillId="11" borderId="25" xfId="151" applyNumberFormat="1" applyFont="1" applyFill="1" applyBorder="1" applyAlignment="1">
      <alignment horizontal="center" vertical="center"/>
    </xf>
    <xf numFmtId="1" fontId="51" fillId="0" borderId="25" xfId="154" applyNumberFormat="1" applyFont="1" applyBorder="1" applyAlignment="1">
      <alignment horizontal="center" vertical="center"/>
    </xf>
    <xf numFmtId="9" fontId="50" fillId="2" borderId="25" xfId="155" applyNumberFormat="1" applyFont="1" applyFill="1" applyBorder="1" applyAlignment="1">
      <alignment horizontal="center" vertical="center"/>
    </xf>
    <xf numFmtId="9" fontId="51" fillId="0" borderId="25" xfId="156" applyFont="1" applyFill="1" applyBorder="1" applyAlignment="1">
      <alignment horizontal="center" vertical="center"/>
    </xf>
    <xf numFmtId="9" fontId="50" fillId="0" borderId="25" xfId="151" applyNumberFormat="1" applyFont="1" applyBorder="1" applyAlignment="1" applyProtection="1">
      <alignment horizontal="center" vertical="center"/>
      <protection locked="0"/>
    </xf>
    <xf numFmtId="9" fontId="51" fillId="2" borderId="25" xfId="154" applyNumberFormat="1" applyFont="1" applyFill="1" applyBorder="1" applyAlignment="1">
      <alignment horizontal="center" vertical="center"/>
    </xf>
    <xf numFmtId="1" fontId="50" fillId="11" borderId="25" xfId="151" applyNumberFormat="1" applyFont="1" applyFill="1" applyBorder="1" applyAlignment="1" applyProtection="1">
      <alignment horizontal="center" vertical="center" wrapText="1"/>
      <protection locked="0"/>
    </xf>
    <xf numFmtId="164" fontId="50" fillId="11" borderId="25" xfId="157" applyFont="1" applyFill="1" applyBorder="1" applyAlignment="1" applyProtection="1">
      <alignment horizontal="center" vertical="center" wrapText="1"/>
      <protection locked="0"/>
    </xf>
    <xf numFmtId="9" fontId="50" fillId="11" borderId="25" xfId="151" applyNumberFormat="1" applyFont="1" applyFill="1" applyBorder="1" applyAlignment="1" applyProtection="1">
      <alignment horizontal="center" vertical="center" wrapText="1"/>
      <protection locked="0"/>
    </xf>
    <xf numFmtId="1" fontId="51" fillId="0" borderId="25" xfId="151" applyNumberFormat="1" applyFont="1" applyBorder="1" applyAlignment="1">
      <alignment horizontal="center" vertical="center"/>
    </xf>
    <xf numFmtId="0" fontId="50" fillId="11" borderId="25" xfId="151" applyFont="1" applyFill="1" applyBorder="1" applyAlignment="1" applyProtection="1">
      <alignment horizontal="center" vertical="center"/>
      <protection locked="0"/>
    </xf>
    <xf numFmtId="165" fontId="50" fillId="11" borderId="25" xfId="151" applyNumberFormat="1" applyFont="1" applyFill="1" applyBorder="1" applyAlignment="1" applyProtection="1">
      <alignment horizontal="center" vertical="center"/>
      <protection locked="0"/>
    </xf>
    <xf numFmtId="0" fontId="50" fillId="0" borderId="25" xfId="151" applyFont="1" applyBorder="1" applyAlignment="1" applyProtection="1">
      <alignment horizontal="center" vertical="center"/>
      <protection locked="0"/>
    </xf>
    <xf numFmtId="0" fontId="50" fillId="0" borderId="25" xfId="151" applyFont="1" applyBorder="1" applyAlignment="1" applyProtection="1">
      <alignment horizontal="center" vertical="center" wrapText="1"/>
      <protection locked="0"/>
    </xf>
    <xf numFmtId="0" fontId="47" fillId="0" borderId="25" xfId="151" applyFont="1" applyBorder="1" applyAlignment="1" applyProtection="1">
      <alignment horizontal="center" vertical="center"/>
      <protection locked="0"/>
    </xf>
    <xf numFmtId="9" fontId="47" fillId="0" borderId="25" xfId="151" applyNumberFormat="1" applyFont="1" applyBorder="1" applyAlignment="1" applyProtection="1">
      <alignment horizontal="center" vertical="center"/>
      <protection locked="0"/>
    </xf>
    <xf numFmtId="10" fontId="45" fillId="2" borderId="25" xfId="128" applyNumberFormat="1" applyFont="1" applyFill="1" applyBorder="1" applyAlignment="1">
      <alignment horizontal="center" vertical="center"/>
    </xf>
    <xf numFmtId="9" fontId="45" fillId="0" borderId="25" xfId="151" applyNumberFormat="1" applyFont="1" applyBorder="1" applyAlignment="1" applyProtection="1">
      <alignment horizontal="center" vertical="center"/>
      <protection locked="0"/>
    </xf>
    <xf numFmtId="0" fontId="45" fillId="0" borderId="25" xfId="151" applyFont="1" applyBorder="1" applyAlignment="1" applyProtection="1">
      <alignment horizontal="center" vertical="center"/>
      <protection locked="0"/>
    </xf>
    <xf numFmtId="49" fontId="50" fillId="0" borderId="25" xfId="151" applyNumberFormat="1" applyFont="1" applyBorder="1" applyAlignment="1">
      <alignment horizontal="center" vertical="center" wrapText="1"/>
    </xf>
    <xf numFmtId="49" fontId="50" fillId="0" borderId="25" xfId="151" applyNumberFormat="1" applyFont="1" applyBorder="1" applyAlignment="1" applyProtection="1">
      <alignment horizontal="center" vertical="center" wrapText="1"/>
      <protection locked="0"/>
    </xf>
    <xf numFmtId="0" fontId="50" fillId="0" borderId="25" xfId="151" applyFont="1" applyBorder="1" applyAlignment="1">
      <alignment horizontal="center" vertical="center" wrapText="1"/>
    </xf>
    <xf numFmtId="9" fontId="50" fillId="0" borderId="25" xfId="156" applyFont="1" applyBorder="1" applyAlignment="1">
      <alignment horizontal="center" vertical="center" wrapText="1"/>
    </xf>
    <xf numFmtId="9" fontId="51" fillId="0" borderId="25" xfId="155" applyNumberFormat="1" applyFont="1" applyBorder="1" applyAlignment="1">
      <alignment horizontal="center" vertical="center"/>
    </xf>
    <xf numFmtId="0" fontId="45" fillId="31" borderId="25" xfId="166" applyFont="1" applyFill="1" applyBorder="1" applyAlignment="1" applyProtection="1">
      <alignment horizontal="center" vertical="center"/>
      <protection locked="0"/>
    </xf>
    <xf numFmtId="0" fontId="45" fillId="32" borderId="25" xfId="166" applyFont="1" applyFill="1" applyBorder="1" applyAlignment="1" applyProtection="1">
      <alignment horizontal="center" vertical="center"/>
      <protection locked="0"/>
    </xf>
    <xf numFmtId="0" fontId="45" fillId="33" borderId="25" xfId="166" applyFont="1" applyFill="1" applyBorder="1" applyAlignment="1" applyProtection="1">
      <alignment horizontal="center" vertical="center"/>
      <protection locked="0"/>
    </xf>
    <xf numFmtId="0" fontId="74" fillId="34" borderId="25" xfId="166" applyFont="1" applyFill="1" applyBorder="1" applyAlignment="1" applyProtection="1">
      <alignment horizontal="center" vertical="center" wrapText="1"/>
      <protection locked="0"/>
    </xf>
    <xf numFmtId="0" fontId="74" fillId="35" borderId="25" xfId="166" applyFont="1" applyFill="1" applyBorder="1" applyAlignment="1" applyProtection="1">
      <alignment horizontal="center" vertical="center" wrapText="1"/>
      <protection locked="0"/>
    </xf>
    <xf numFmtId="0" fontId="74" fillId="36" borderId="25" xfId="166" applyFont="1" applyFill="1" applyBorder="1" applyAlignment="1" applyProtection="1">
      <alignment horizontal="center" vertical="center" wrapText="1"/>
      <protection locked="0"/>
    </xf>
    <xf numFmtId="14" fontId="50" fillId="0" borderId="25" xfId="0" applyNumberFormat="1" applyFont="1" applyBorder="1" applyAlignment="1">
      <alignment horizontal="center" vertical="center"/>
    </xf>
    <xf numFmtId="165" fontId="50" fillId="0" borderId="25" xfId="0" applyNumberFormat="1" applyFont="1" applyBorder="1" applyAlignment="1">
      <alignment horizontal="center" vertical="center" wrapText="1"/>
    </xf>
    <xf numFmtId="1" fontId="51" fillId="0" borderId="25" xfId="174" applyNumberFormat="1" applyFont="1" applyBorder="1" applyAlignment="1">
      <alignment horizontal="center" vertical="center"/>
    </xf>
    <xf numFmtId="1" fontId="51" fillId="11" borderId="25" xfId="174" applyNumberFormat="1" applyFont="1" applyFill="1" applyBorder="1" applyAlignment="1">
      <alignment horizontal="center" vertical="center"/>
    </xf>
    <xf numFmtId="1" fontId="51" fillId="0" borderId="25" xfId="177" applyNumberFormat="1" applyFont="1" applyBorder="1" applyAlignment="1">
      <alignment horizontal="center" vertical="center"/>
    </xf>
    <xf numFmtId="0" fontId="51" fillId="0" borderId="25" xfId="174" applyFont="1" applyBorder="1" applyAlignment="1">
      <alignment horizontal="center" vertical="center"/>
    </xf>
    <xf numFmtId="9" fontId="50" fillId="2" borderId="25" xfId="178" applyNumberFormat="1" applyFont="1" applyFill="1" applyBorder="1" applyAlignment="1">
      <alignment horizontal="center" vertical="center"/>
    </xf>
    <xf numFmtId="9" fontId="51" fillId="0" borderId="25" xfId="179" applyFont="1" applyFill="1" applyBorder="1" applyAlignment="1">
      <alignment horizontal="center" vertical="center"/>
    </xf>
    <xf numFmtId="9" fontId="51" fillId="0" borderId="25" xfId="174" applyNumberFormat="1" applyFont="1" applyBorder="1" applyAlignment="1">
      <alignment horizontal="center" vertical="center"/>
    </xf>
    <xf numFmtId="9" fontId="50" fillId="30" borderId="25" xfId="0" applyNumberFormat="1" applyFont="1" applyFill="1" applyBorder="1" applyAlignment="1">
      <alignment horizontal="center" vertical="center" wrapText="1"/>
    </xf>
    <xf numFmtId="0" fontId="68" fillId="10" borderId="25" xfId="178" applyFont="1" applyFill="1" applyBorder="1" applyAlignment="1">
      <alignment horizontal="center" vertical="center"/>
    </xf>
    <xf numFmtId="9" fontId="45" fillId="2" borderId="25" xfId="177" applyNumberFormat="1" applyFont="1" applyFill="1" applyBorder="1" applyAlignment="1">
      <alignment horizontal="center" vertical="center"/>
    </xf>
    <xf numFmtId="1" fontId="56" fillId="0" borderId="20" xfId="174" applyNumberFormat="1" applyFont="1" applyBorder="1" applyAlignment="1">
      <alignment horizontal="center" vertical="center"/>
    </xf>
    <xf numFmtId="0" fontId="56" fillId="0" borderId="6" xfId="174" applyFont="1" applyBorder="1" applyAlignment="1">
      <alignment horizontal="center" vertical="center"/>
    </xf>
    <xf numFmtId="10" fontId="50" fillId="11" borderId="6" xfId="4" applyNumberFormat="1" applyFont="1" applyFill="1" applyBorder="1" applyAlignment="1">
      <alignment horizontal="center" vertical="center" wrapText="1"/>
    </xf>
    <xf numFmtId="9" fontId="56" fillId="2" borderId="6" xfId="177" applyNumberFormat="1" applyFont="1" applyFill="1" applyBorder="1" applyAlignment="1">
      <alignment horizontal="center" vertical="center"/>
    </xf>
    <xf numFmtId="0" fontId="40" fillId="0" borderId="25" xfId="166" applyFont="1" applyBorder="1" applyAlignment="1" applyProtection="1">
      <alignment vertical="center"/>
      <protection locked="0"/>
    </xf>
    <xf numFmtId="0" fontId="62" fillId="31" borderId="25" xfId="166" applyFont="1" applyFill="1" applyBorder="1" applyAlignment="1" applyProtection="1">
      <alignment horizontal="centerContinuous" vertical="center"/>
      <protection locked="0"/>
    </xf>
    <xf numFmtId="0" fontId="62" fillId="32" borderId="25" xfId="166" applyFont="1" applyFill="1" applyBorder="1" applyAlignment="1" applyProtection="1">
      <alignment horizontal="centerContinuous" vertical="center"/>
      <protection locked="0"/>
    </xf>
    <xf numFmtId="0" fontId="62" fillId="33" borderId="25" xfId="166" applyFont="1" applyFill="1" applyBorder="1" applyAlignment="1" applyProtection="1">
      <alignment horizontal="centerContinuous" vertical="center"/>
      <protection locked="0"/>
    </xf>
    <xf numFmtId="0" fontId="66" fillId="34" borderId="25" xfId="166" applyFont="1" applyFill="1" applyBorder="1" applyAlignment="1" applyProtection="1">
      <alignment horizontal="center" vertical="center" wrapText="1"/>
      <protection locked="0"/>
    </xf>
    <xf numFmtId="0" fontId="66" fillId="35" borderId="25" xfId="166" applyFont="1" applyFill="1" applyBorder="1" applyAlignment="1" applyProtection="1">
      <alignment horizontal="center" vertical="center" wrapText="1"/>
      <protection locked="0"/>
    </xf>
    <xf numFmtId="0" fontId="66" fillId="36" borderId="25" xfId="166" applyFont="1" applyFill="1" applyBorder="1" applyAlignment="1" applyProtection="1">
      <alignment horizontal="center" vertical="center" wrapText="1"/>
      <protection locked="0"/>
    </xf>
    <xf numFmtId="1" fontId="57" fillId="0" borderId="25" xfId="174" applyNumberFormat="1" applyFont="1" applyBorder="1" applyAlignment="1">
      <alignment horizontal="center" vertical="center"/>
    </xf>
    <xf numFmtId="14" fontId="35" fillId="0" borderId="25" xfId="0" applyNumberFormat="1" applyFont="1" applyBorder="1" applyAlignment="1">
      <alignment horizontal="center" vertical="center" wrapText="1"/>
    </xf>
    <xf numFmtId="0" fontId="35" fillId="0" borderId="25" xfId="0" applyFont="1" applyBorder="1" applyAlignment="1">
      <alignment horizontal="center" vertical="center" wrapText="1"/>
    </xf>
    <xf numFmtId="1" fontId="57" fillId="11" borderId="25" xfId="174" applyNumberFormat="1" applyFont="1" applyFill="1" applyBorder="1" applyAlignment="1">
      <alignment horizontal="center" vertical="center"/>
    </xf>
    <xf numFmtId="1" fontId="57" fillId="0" borderId="25" xfId="177" applyNumberFormat="1" applyFont="1" applyBorder="1" applyAlignment="1">
      <alignment horizontal="center" vertical="center"/>
    </xf>
    <xf numFmtId="0" fontId="57" fillId="30" borderId="25" xfId="0" applyFont="1" applyFill="1" applyBorder="1" applyAlignment="1">
      <alignment horizontal="center" vertical="center"/>
    </xf>
    <xf numFmtId="9" fontId="2" fillId="2" borderId="25" xfId="178" applyNumberFormat="1" applyFont="1" applyFill="1" applyBorder="1" applyAlignment="1">
      <alignment horizontal="center" vertical="center"/>
    </xf>
    <xf numFmtId="9" fontId="57" fillId="0" borderId="25" xfId="179" applyFont="1" applyFill="1" applyBorder="1" applyAlignment="1">
      <alignment horizontal="center" vertical="center"/>
    </xf>
    <xf numFmtId="0" fontId="75" fillId="30" borderId="25" xfId="0" applyFont="1" applyFill="1" applyBorder="1" applyAlignment="1">
      <alignment horizontal="center" vertical="center" wrapText="1"/>
    </xf>
    <xf numFmtId="0" fontId="76" fillId="30" borderId="25" xfId="0" applyFont="1" applyFill="1" applyBorder="1" applyAlignment="1">
      <alignment horizontal="center" vertical="center" wrapText="1"/>
    </xf>
    <xf numFmtId="0" fontId="35" fillId="0" borderId="25" xfId="0" applyFont="1" applyBorder="1"/>
    <xf numFmtId="0" fontId="83" fillId="10" borderId="6" xfId="178" applyFont="1" applyFill="1" applyBorder="1" applyAlignment="1">
      <alignment horizontal="centerContinuous" vertical="center"/>
    </xf>
    <xf numFmtId="0" fontId="83" fillId="25" borderId="5" xfId="174" applyFont="1" applyFill="1" applyBorder="1" applyAlignment="1" applyProtection="1">
      <alignment horizontal="center" vertical="center" wrapText="1"/>
      <protection locked="0"/>
    </xf>
    <xf numFmtId="0" fontId="51" fillId="30" borderId="25" xfId="0" applyFont="1" applyFill="1" applyBorder="1" applyAlignment="1">
      <alignment horizontal="center" vertical="center"/>
    </xf>
    <xf numFmtId="10" fontId="47" fillId="11" borderId="25" xfId="4" applyNumberFormat="1" applyFont="1" applyFill="1" applyBorder="1" applyAlignment="1">
      <alignment horizontal="center" vertical="center" wrapText="1"/>
    </xf>
    <xf numFmtId="9" fontId="51" fillId="0" borderId="25" xfId="179" applyFont="1" applyBorder="1" applyAlignment="1">
      <alignment horizontal="center" vertical="center"/>
    </xf>
    <xf numFmtId="0" fontId="45" fillId="0" borderId="25" xfId="166" applyFont="1" applyBorder="1" applyAlignment="1" applyProtection="1">
      <alignment vertical="center" wrapText="1"/>
      <protection locked="0"/>
    </xf>
    <xf numFmtId="0" fontId="45" fillId="31" borderId="25" xfId="166" applyFont="1" applyFill="1" applyBorder="1" applyAlignment="1" applyProtection="1">
      <alignment horizontal="centerContinuous" vertical="center" wrapText="1"/>
      <protection locked="0"/>
    </xf>
    <xf numFmtId="0" fontId="45" fillId="32" borderId="25" xfId="166" applyFont="1" applyFill="1" applyBorder="1" applyAlignment="1" applyProtection="1">
      <alignment horizontal="centerContinuous" vertical="center" wrapText="1"/>
      <protection locked="0"/>
    </xf>
    <xf numFmtId="0" fontId="45" fillId="33" borderId="25" xfId="166" applyFont="1" applyFill="1" applyBorder="1" applyAlignment="1" applyProtection="1">
      <alignment horizontal="centerContinuous" vertical="center" wrapText="1"/>
      <protection locked="0"/>
    </xf>
    <xf numFmtId="1" fontId="45" fillId="0" borderId="25" xfId="174" applyNumberFormat="1" applyFont="1" applyBorder="1" applyAlignment="1">
      <alignment horizontal="center" vertical="center" wrapText="1"/>
    </xf>
    <xf numFmtId="1" fontId="45" fillId="11" borderId="25" xfId="174" applyNumberFormat="1" applyFont="1" applyFill="1" applyBorder="1" applyAlignment="1">
      <alignment horizontal="center" vertical="center" wrapText="1"/>
    </xf>
    <xf numFmtId="1" fontId="45" fillId="0" borderId="25" xfId="177" applyNumberFormat="1" applyFont="1" applyBorder="1" applyAlignment="1">
      <alignment horizontal="center" vertical="center" wrapText="1"/>
    </xf>
    <xf numFmtId="0" fontId="45" fillId="0" borderId="25" xfId="174" applyFont="1" applyBorder="1" applyAlignment="1">
      <alignment horizontal="center" vertical="center" wrapText="1"/>
    </xf>
    <xf numFmtId="9" fontId="47" fillId="2" borderId="25" xfId="178" applyNumberFormat="1" applyFont="1" applyFill="1" applyBorder="1" applyAlignment="1">
      <alignment horizontal="center" vertical="center" wrapText="1"/>
    </xf>
    <xf numFmtId="9" fontId="45" fillId="0" borderId="25" xfId="179" applyFont="1" applyBorder="1" applyAlignment="1">
      <alignment horizontal="center" vertical="center" wrapText="1"/>
    </xf>
    <xf numFmtId="9" fontId="47" fillId="0" borderId="25" xfId="0" applyNumberFormat="1" applyFont="1" applyBorder="1" applyAlignment="1">
      <alignment horizontal="center" vertical="center" wrapText="1"/>
    </xf>
    <xf numFmtId="0" fontId="47" fillId="30" borderId="27" xfId="0" applyFont="1" applyFill="1" applyBorder="1" applyAlignment="1">
      <alignment horizontal="center" vertical="center" wrapText="1"/>
    </xf>
    <xf numFmtId="0" fontId="45" fillId="0" borderId="25" xfId="166" applyFont="1" applyBorder="1" applyAlignment="1" applyProtection="1">
      <alignment horizontal="center" vertical="center" wrapText="1"/>
      <protection locked="0"/>
    </xf>
    <xf numFmtId="14" fontId="47" fillId="30" borderId="25" xfId="0" applyNumberFormat="1" applyFont="1" applyFill="1" applyBorder="1" applyAlignment="1">
      <alignment horizontal="center" vertical="center" wrapText="1"/>
    </xf>
    <xf numFmtId="1" fontId="45" fillId="0" borderId="25" xfId="174" applyNumberFormat="1" applyFont="1" applyBorder="1" applyAlignment="1">
      <alignment horizontal="center" vertical="center"/>
    </xf>
    <xf numFmtId="1" fontId="45" fillId="11" borderId="25" xfId="174" applyNumberFormat="1" applyFont="1" applyFill="1" applyBorder="1" applyAlignment="1">
      <alignment horizontal="center" vertical="center"/>
    </xf>
    <xf numFmtId="1" fontId="45" fillId="0" borderId="25" xfId="177" applyNumberFormat="1" applyFont="1" applyBorder="1" applyAlignment="1">
      <alignment horizontal="center" vertical="center"/>
    </xf>
    <xf numFmtId="0" fontId="45" fillId="30" borderId="25" xfId="0" applyFont="1" applyFill="1" applyBorder="1" applyAlignment="1">
      <alignment horizontal="center" vertical="center"/>
    </xf>
    <xf numFmtId="9" fontId="47" fillId="2" borderId="25" xfId="178" applyNumberFormat="1" applyFont="1" applyFill="1" applyBorder="1" applyAlignment="1">
      <alignment horizontal="center" vertical="center"/>
    </xf>
    <xf numFmtId="9" fontId="45" fillId="0" borderId="25" xfId="179" applyFont="1" applyFill="1" applyBorder="1" applyAlignment="1">
      <alignment horizontal="center" vertical="center"/>
    </xf>
    <xf numFmtId="0" fontId="68" fillId="25" borderId="14" xfId="174" applyFont="1" applyFill="1" applyBorder="1" applyAlignment="1" applyProtection="1">
      <alignment horizontal="center" vertical="center" wrapText="1"/>
      <protection locked="0"/>
    </xf>
    <xf numFmtId="1" fontId="51" fillId="0" borderId="14" xfId="174" applyNumberFormat="1" applyFont="1" applyBorder="1" applyAlignment="1">
      <alignment horizontal="center" vertical="center" wrapText="1"/>
    </xf>
    <xf numFmtId="9" fontId="47" fillId="11" borderId="14" xfId="4" applyNumberFormat="1" applyFont="1" applyFill="1" applyBorder="1" applyAlignment="1">
      <alignment horizontal="center" vertical="center" wrapText="1"/>
    </xf>
    <xf numFmtId="0" fontId="68" fillId="10" borderId="14" xfId="178" applyFont="1" applyFill="1" applyBorder="1" applyAlignment="1">
      <alignment horizontal="centerContinuous" vertical="center" wrapText="1"/>
    </xf>
    <xf numFmtId="9" fontId="45" fillId="2" borderId="14" xfId="177" applyNumberFormat="1" applyFont="1" applyFill="1" applyBorder="1" applyAlignment="1">
      <alignment horizontal="center" vertical="center" wrapText="1"/>
    </xf>
    <xf numFmtId="2" fontId="45" fillId="0" borderId="25" xfId="174" applyNumberFormat="1" applyFont="1" applyBorder="1" applyAlignment="1">
      <alignment horizontal="center" vertical="center" wrapText="1"/>
    </xf>
    <xf numFmtId="0" fontId="68" fillId="10" borderId="25" xfId="172" applyFont="1" applyFill="1" applyBorder="1" applyAlignment="1">
      <alignment horizontal="center" vertical="center"/>
    </xf>
    <xf numFmtId="0" fontId="45" fillId="17" borderId="25" xfId="166" applyFont="1" applyFill="1" applyBorder="1" applyAlignment="1" applyProtection="1">
      <alignment horizontal="center" vertical="center"/>
      <protection locked="0"/>
    </xf>
    <xf numFmtId="0" fontId="45" fillId="26" borderId="25" xfId="166" applyFont="1" applyFill="1" applyBorder="1" applyAlignment="1" applyProtection="1">
      <alignment horizontal="center" vertical="center"/>
      <protection locked="0"/>
    </xf>
    <xf numFmtId="0" fontId="45" fillId="27" borderId="25" xfId="166" applyFont="1" applyFill="1" applyBorder="1" applyAlignment="1" applyProtection="1">
      <alignment horizontal="center" vertical="center"/>
      <protection locked="0"/>
    </xf>
    <xf numFmtId="0" fontId="50" fillId="0" borderId="25" xfId="166" applyFont="1" applyBorder="1" applyAlignment="1" applyProtection="1">
      <alignment horizontal="center" vertical="center" wrapText="1"/>
      <protection locked="0"/>
    </xf>
    <xf numFmtId="0" fontId="45" fillId="47" borderId="27" xfId="0" applyFont="1" applyFill="1" applyBorder="1" applyAlignment="1">
      <alignment horizontal="center"/>
    </xf>
    <xf numFmtId="0" fontId="45" fillId="47" borderId="14" xfId="0" applyFont="1" applyFill="1" applyBorder="1" applyAlignment="1">
      <alignment horizontal="center"/>
    </xf>
    <xf numFmtId="0" fontId="45" fillId="47" borderId="14" xfId="0" applyFont="1" applyFill="1" applyBorder="1" applyAlignment="1">
      <alignment horizontal="center" vertical="center"/>
    </xf>
    <xf numFmtId="1" fontId="45" fillId="47" borderId="14" xfId="0" applyNumberFormat="1" applyFont="1" applyFill="1" applyBorder="1" applyAlignment="1">
      <alignment horizontal="center" vertical="center"/>
    </xf>
    <xf numFmtId="0" fontId="47" fillId="47" borderId="14" xfId="0" applyFont="1" applyFill="1" applyBorder="1" applyAlignment="1">
      <alignment horizontal="center" vertical="center"/>
    </xf>
    <xf numFmtId="9" fontId="47" fillId="47" borderId="14" xfId="0" applyNumberFormat="1" applyFont="1" applyFill="1" applyBorder="1" applyAlignment="1">
      <alignment horizontal="center" vertical="center"/>
    </xf>
    <xf numFmtId="0" fontId="47" fillId="11" borderId="1" xfId="0" applyFont="1" applyFill="1" applyBorder="1" applyAlignment="1">
      <alignment horizontal="center"/>
    </xf>
    <xf numFmtId="0" fontId="47" fillId="11" borderId="1" xfId="0" applyFont="1" applyFill="1" applyBorder="1" applyAlignment="1">
      <alignment horizontal="center" vertical="center"/>
    </xf>
    <xf numFmtId="9" fontId="47" fillId="45" borderId="1" xfId="0" applyNumberFormat="1" applyFont="1" applyFill="1" applyBorder="1" applyAlignment="1">
      <alignment horizontal="center" vertical="center"/>
    </xf>
    <xf numFmtId="9" fontId="47" fillId="11" borderId="1" xfId="0" applyNumberFormat="1" applyFont="1" applyFill="1" applyBorder="1" applyAlignment="1">
      <alignment horizontal="center" vertical="center"/>
    </xf>
    <xf numFmtId="0" fontId="47" fillId="29" borderId="1" xfId="0" applyFont="1" applyFill="1" applyBorder="1" applyAlignment="1">
      <alignment horizontal="center"/>
    </xf>
    <xf numFmtId="0" fontId="47" fillId="29" borderId="1" xfId="0" applyFont="1" applyFill="1" applyBorder="1" applyAlignment="1">
      <alignment horizontal="center" vertical="center"/>
    </xf>
    <xf numFmtId="9" fontId="47" fillId="49" borderId="1" xfId="0" applyNumberFormat="1" applyFont="1" applyFill="1" applyBorder="1" applyAlignment="1">
      <alignment horizontal="center" vertical="center"/>
    </xf>
    <xf numFmtId="9" fontId="47" fillId="29" borderId="1" xfId="0" applyNumberFormat="1" applyFont="1" applyFill="1" applyBorder="1" applyAlignment="1">
      <alignment horizontal="center" vertical="center"/>
    </xf>
    <xf numFmtId="0" fontId="84" fillId="11" borderId="25" xfId="4" applyFont="1" applyFill="1" applyBorder="1" applyAlignment="1">
      <alignment horizontal="center" vertical="center" wrapText="1"/>
    </xf>
    <xf numFmtId="14" fontId="84" fillId="11" borderId="25" xfId="158" applyNumberFormat="1" applyFont="1" applyFill="1" applyBorder="1" applyAlignment="1">
      <alignment horizontal="center" vertical="center" wrapText="1"/>
    </xf>
    <xf numFmtId="14" fontId="84" fillId="11" borderId="25" xfId="4" applyNumberFormat="1" applyFont="1" applyFill="1" applyBorder="1" applyAlignment="1" applyProtection="1">
      <alignment horizontal="center" vertical="center" wrapText="1"/>
      <protection locked="0"/>
    </xf>
    <xf numFmtId="14" fontId="84" fillId="0" borderId="25" xfId="4" applyNumberFormat="1" applyFont="1" applyBorder="1" applyAlignment="1" applyProtection="1">
      <alignment horizontal="center" vertical="center"/>
      <protection locked="0"/>
    </xf>
    <xf numFmtId="0" fontId="50" fillId="13" borderId="25" xfId="183" applyFont="1" applyFill="1" applyBorder="1" applyAlignment="1">
      <alignment horizontal="center" vertical="center" wrapText="1"/>
    </xf>
    <xf numFmtId="14" fontId="69" fillId="0" borderId="25" xfId="192" applyNumberFormat="1" applyFont="1" applyBorder="1" applyAlignment="1">
      <alignment horizontal="center" vertical="center" wrapText="1"/>
    </xf>
    <xf numFmtId="14" fontId="69" fillId="11" borderId="25" xfId="192" applyNumberFormat="1" applyFont="1" applyFill="1" applyBorder="1" applyAlignment="1">
      <alignment horizontal="center" vertical="center" wrapText="1"/>
    </xf>
    <xf numFmtId="0" fontId="86" fillId="11" borderId="25" xfId="0" applyFont="1" applyFill="1" applyBorder="1" applyAlignment="1">
      <alignment horizontal="center" vertical="center" wrapText="1"/>
    </xf>
    <xf numFmtId="14" fontId="69" fillId="11" borderId="25" xfId="0" applyNumberFormat="1" applyFont="1" applyFill="1" applyBorder="1" applyAlignment="1">
      <alignment horizontal="center" vertical="center" wrapText="1"/>
    </xf>
    <xf numFmtId="14" fontId="55" fillId="11" borderId="25" xfId="0" applyNumberFormat="1" applyFont="1" applyFill="1" applyBorder="1" applyAlignment="1">
      <alignment horizontal="center" vertical="center" wrapText="1"/>
    </xf>
    <xf numFmtId="165" fontId="69" fillId="11" borderId="25" xfId="84" applyNumberFormat="1" applyFont="1" applyFill="1" applyBorder="1" applyAlignment="1">
      <alignment horizontal="center" vertical="center" wrapText="1"/>
    </xf>
    <xf numFmtId="0" fontId="87" fillId="30" borderId="6" xfId="0" applyFont="1" applyFill="1" applyBorder="1" applyAlignment="1">
      <alignment vertical="top" wrapText="1"/>
    </xf>
    <xf numFmtId="0" fontId="87" fillId="30" borderId="8" xfId="0" applyFont="1" applyFill="1" applyBorder="1" applyAlignment="1">
      <alignment vertical="top" wrapText="1"/>
    </xf>
    <xf numFmtId="14" fontId="84" fillId="0" borderId="25" xfId="4" applyNumberFormat="1" applyFont="1" applyBorder="1" applyAlignment="1">
      <alignment horizontal="center" vertical="center" wrapText="1"/>
    </xf>
    <xf numFmtId="166" fontId="84" fillId="0" borderId="25" xfId="4" applyNumberFormat="1" applyFont="1" applyBorder="1" applyAlignment="1">
      <alignment horizontal="center" vertical="center" wrapText="1"/>
    </xf>
    <xf numFmtId="0" fontId="50" fillId="19" borderId="25" xfId="4" applyFont="1" applyFill="1" applyBorder="1" applyAlignment="1">
      <alignment horizontal="center" vertical="center" wrapText="1"/>
    </xf>
    <xf numFmtId="165" fontId="84" fillId="0" borderId="25" xfId="4" applyNumberFormat="1" applyFont="1" applyBorder="1" applyAlignment="1">
      <alignment horizontal="center" vertical="center"/>
    </xf>
    <xf numFmtId="14" fontId="84" fillId="0" borderId="25" xfId="167" applyNumberFormat="1" applyFont="1" applyBorder="1" applyAlignment="1">
      <alignment horizontal="center" vertical="center" wrapText="1"/>
    </xf>
    <xf numFmtId="0" fontId="50" fillId="0" borderId="25" xfId="0" applyFont="1" applyBorder="1" applyAlignment="1">
      <alignment horizontal="left" vertical="center" wrapText="1"/>
    </xf>
    <xf numFmtId="14" fontId="84" fillId="0" borderId="25" xfId="0" applyNumberFormat="1" applyFont="1" applyBorder="1" applyAlignment="1">
      <alignment horizontal="center" vertical="center" wrapText="1"/>
    </xf>
    <xf numFmtId="0" fontId="50" fillId="18" borderId="25" xfId="0" applyFont="1" applyFill="1" applyBorder="1" applyAlignment="1">
      <alignment horizontal="center" vertical="center" wrapText="1"/>
    </xf>
    <xf numFmtId="0" fontId="50" fillId="4" borderId="25" xfId="0" applyFont="1" applyFill="1" applyBorder="1" applyAlignment="1">
      <alignment horizontal="center" vertical="center" wrapText="1"/>
    </xf>
    <xf numFmtId="0" fontId="88" fillId="30" borderId="25" xfId="0" applyFont="1" applyFill="1" applyBorder="1" applyAlignment="1">
      <alignment horizontal="center" vertical="center" wrapText="1"/>
    </xf>
    <xf numFmtId="0" fontId="0" fillId="0" borderId="0" xfId="0" applyAlignment="1">
      <alignment wrapText="1"/>
    </xf>
    <xf numFmtId="0" fontId="47" fillId="0" borderId="25" xfId="0" quotePrefix="1" applyFont="1" applyBorder="1" applyAlignment="1">
      <alignment horizontal="center" vertical="center" wrapText="1"/>
    </xf>
    <xf numFmtId="9" fontId="0" fillId="0" borderId="0" xfId="0" applyNumberFormat="1"/>
    <xf numFmtId="0" fontId="85" fillId="30" borderId="25" xfId="0" applyFont="1" applyFill="1" applyBorder="1" applyAlignment="1">
      <alignment horizontal="center" vertical="center" wrapText="1"/>
    </xf>
    <xf numFmtId="0" fontId="85" fillId="11" borderId="25" xfId="4" applyFont="1" applyFill="1" applyBorder="1" applyAlignment="1" applyProtection="1">
      <alignment horizontal="center" vertical="center" wrapText="1"/>
      <protection locked="0"/>
    </xf>
    <xf numFmtId="0" fontId="85" fillId="11" borderId="25" xfId="4" applyFont="1" applyFill="1" applyBorder="1" applyAlignment="1">
      <alignment horizontal="center" vertical="center" wrapText="1"/>
    </xf>
    <xf numFmtId="0" fontId="85" fillId="0" borderId="25" xfId="0" applyFont="1" applyBorder="1" applyAlignment="1">
      <alignment horizontal="center" vertical="center" wrapText="1"/>
    </xf>
    <xf numFmtId="0" fontId="90" fillId="0" borderId="0" xfId="0" applyFont="1"/>
    <xf numFmtId="0" fontId="68" fillId="25" borderId="28" xfId="0" applyFont="1" applyFill="1" applyBorder="1" applyAlignment="1" applyProtection="1">
      <alignment horizontal="center" vertical="center" wrapText="1"/>
      <protection locked="0"/>
    </xf>
    <xf numFmtId="0" fontId="91" fillId="0" borderId="33" xfId="0" applyFont="1" applyBorder="1" applyAlignment="1">
      <alignment horizontal="center" vertical="center" wrapText="1" readingOrder="1"/>
    </xf>
    <xf numFmtId="0" fontId="68" fillId="28" borderId="28" xfId="0" applyFont="1" applyFill="1" applyBorder="1" applyAlignment="1" applyProtection="1">
      <alignment horizontal="center" vertical="center" wrapText="1"/>
      <protection locked="0"/>
    </xf>
    <xf numFmtId="0" fontId="68" fillId="25" borderId="17" xfId="0" applyFont="1" applyFill="1" applyBorder="1" applyAlignment="1" applyProtection="1">
      <alignment horizontal="center" vertical="center" wrapText="1"/>
      <protection locked="0"/>
    </xf>
    <xf numFmtId="0" fontId="68" fillId="28" borderId="19" xfId="0" applyFont="1" applyFill="1" applyBorder="1" applyAlignment="1" applyProtection="1">
      <alignment horizontal="center" vertical="center" wrapText="1"/>
      <protection locked="0"/>
    </xf>
    <xf numFmtId="0" fontId="68" fillId="28" borderId="35" xfId="0" applyFont="1" applyFill="1" applyBorder="1" applyAlignment="1" applyProtection="1">
      <alignment horizontal="center" vertical="center" wrapText="1"/>
      <protection locked="0"/>
    </xf>
    <xf numFmtId="0" fontId="68" fillId="25" borderId="19" xfId="0" applyFont="1" applyFill="1" applyBorder="1" applyAlignment="1" applyProtection="1">
      <alignment horizontal="center" vertical="center" wrapText="1"/>
      <protection locked="0"/>
    </xf>
    <xf numFmtId="165" fontId="50" fillId="11" borderId="33" xfId="84" applyNumberFormat="1" applyFont="1" applyFill="1" applyBorder="1" applyAlignment="1">
      <alignment horizontal="center" vertical="center" wrapText="1"/>
    </xf>
    <xf numFmtId="1" fontId="51" fillId="11" borderId="33" xfId="0" applyNumberFormat="1" applyFont="1" applyFill="1" applyBorder="1" applyAlignment="1">
      <alignment horizontal="center" vertical="center" wrapText="1"/>
    </xf>
    <xf numFmtId="1" fontId="51" fillId="0" borderId="33" xfId="56" applyNumberFormat="1" applyFont="1" applyBorder="1" applyAlignment="1">
      <alignment horizontal="center" vertical="center" wrapText="1"/>
    </xf>
    <xf numFmtId="166" fontId="50" fillId="11" borderId="33" xfId="84" applyNumberFormat="1" applyFont="1" applyFill="1" applyBorder="1" applyAlignment="1">
      <alignment horizontal="center" vertical="center" wrapText="1"/>
    </xf>
    <xf numFmtId="9" fontId="50" fillId="2" borderId="33" xfId="188" applyNumberFormat="1" applyFont="1" applyFill="1" applyBorder="1" applyAlignment="1">
      <alignment horizontal="center" vertical="center" wrapText="1"/>
    </xf>
    <xf numFmtId="9" fontId="51" fillId="0" borderId="33" xfId="187" applyFont="1" applyFill="1" applyBorder="1" applyAlignment="1">
      <alignment horizontal="center" vertical="center" wrapText="1"/>
    </xf>
    <xf numFmtId="0" fontId="50" fillId="11" borderId="33" xfId="84" applyFont="1" applyFill="1" applyBorder="1" applyAlignment="1">
      <alignment horizontal="center" vertical="center" wrapText="1"/>
    </xf>
    <xf numFmtId="0" fontId="50" fillId="0" borderId="33" xfId="0" applyFont="1" applyBorder="1" applyAlignment="1">
      <alignment horizontal="center" vertical="center" wrapText="1"/>
    </xf>
    <xf numFmtId="9" fontId="50" fillId="0" borderId="33" xfId="0" applyNumberFormat="1" applyFont="1" applyBorder="1" applyAlignment="1" applyProtection="1">
      <alignment horizontal="center" vertical="center" wrapText="1"/>
      <protection locked="0"/>
    </xf>
    <xf numFmtId="10" fontId="51" fillId="2" borderId="33" xfId="56" applyNumberFormat="1" applyFont="1" applyFill="1" applyBorder="1" applyAlignment="1">
      <alignment horizontal="center" vertical="center" wrapText="1"/>
    </xf>
    <xf numFmtId="9" fontId="50" fillId="0" borderId="33" xfId="187" applyFont="1" applyBorder="1" applyAlignment="1">
      <alignment horizontal="center" vertical="center" wrapText="1"/>
    </xf>
    <xf numFmtId="0" fontId="68" fillId="16" borderId="28" xfId="0" applyFont="1" applyFill="1" applyBorder="1" applyAlignment="1" applyProtection="1">
      <alignment horizontal="center" vertical="center" wrapText="1"/>
      <protection locked="0"/>
    </xf>
    <xf numFmtId="166" fontId="51" fillId="0" borderId="14" xfId="0" applyNumberFormat="1" applyFont="1" applyBorder="1" applyAlignment="1">
      <alignment horizontal="center" vertical="center" wrapText="1"/>
    </xf>
    <xf numFmtId="9" fontId="47" fillId="2" borderId="14" xfId="188" applyNumberFormat="1" applyFont="1" applyFill="1" applyBorder="1" applyAlignment="1">
      <alignment horizontal="center" vertical="center" wrapText="1"/>
    </xf>
    <xf numFmtId="10" fontId="45" fillId="2" borderId="14" xfId="56" applyNumberFormat="1" applyFont="1" applyFill="1" applyBorder="1" applyAlignment="1">
      <alignment horizontal="center" vertical="center" wrapText="1"/>
    </xf>
    <xf numFmtId="0" fontId="50" fillId="11" borderId="33" xfId="1" applyFont="1" applyFill="1" applyBorder="1" applyAlignment="1" applyProtection="1">
      <alignment horizontal="center" vertical="center" wrapText="1"/>
      <protection locked="0"/>
    </xf>
    <xf numFmtId="9" fontId="91" fillId="0" borderId="33" xfId="0" applyNumberFormat="1" applyFont="1" applyBorder="1" applyAlignment="1">
      <alignment horizontal="center" vertical="center" wrapText="1" readingOrder="1"/>
    </xf>
    <xf numFmtId="14" fontId="91" fillId="0" borderId="33" xfId="0" applyNumberFormat="1" applyFont="1" applyBorder="1" applyAlignment="1">
      <alignment horizontal="center" vertical="center" wrapText="1" readingOrder="1"/>
    </xf>
    <xf numFmtId="0" fontId="91" fillId="20" borderId="33" xfId="0" applyFont="1" applyFill="1" applyBorder="1" applyAlignment="1">
      <alignment horizontal="center" vertical="center" wrapText="1" readingOrder="1"/>
    </xf>
    <xf numFmtId="9" fontId="91" fillId="20" borderId="33" xfId="0" applyNumberFormat="1" applyFont="1" applyFill="1" applyBorder="1" applyAlignment="1">
      <alignment horizontal="center" vertical="center" wrapText="1" readingOrder="1"/>
    </xf>
    <xf numFmtId="0" fontId="91" fillId="20" borderId="33" xfId="0" applyFont="1" applyFill="1" applyBorder="1" applyAlignment="1">
      <alignment horizontal="center" vertical="center" readingOrder="1"/>
    </xf>
    <xf numFmtId="14" fontId="91" fillId="20" borderId="33" xfId="0" applyNumberFormat="1" applyFont="1" applyFill="1" applyBorder="1" applyAlignment="1">
      <alignment horizontal="center" vertical="center" wrapText="1" readingOrder="1"/>
    </xf>
    <xf numFmtId="0" fontId="92" fillId="20" borderId="33" xfId="0" applyFont="1" applyFill="1" applyBorder="1" applyAlignment="1">
      <alignment horizontal="center" vertical="center" wrapText="1" readingOrder="1"/>
    </xf>
    <xf numFmtId="1" fontId="51" fillId="0" borderId="34" xfId="0" applyNumberFormat="1" applyFont="1" applyBorder="1" applyAlignment="1">
      <alignment horizontal="center" vertical="center" wrapText="1"/>
    </xf>
    <xf numFmtId="0" fontId="68" fillId="25" borderId="35" xfId="0" applyFont="1" applyFill="1" applyBorder="1" applyAlignment="1" applyProtection="1">
      <alignment horizontal="center" vertical="center" wrapText="1"/>
      <protection locked="0"/>
    </xf>
    <xf numFmtId="0" fontId="55" fillId="0" borderId="33" xfId="0" applyFont="1" applyBorder="1" applyAlignment="1">
      <alignment horizontal="center" vertical="center" wrapText="1"/>
    </xf>
    <xf numFmtId="0" fontId="34" fillId="11" borderId="0" xfId="0" applyFont="1" applyFill="1" applyAlignment="1">
      <alignment wrapText="1"/>
    </xf>
    <xf numFmtId="0" fontId="34" fillId="50" borderId="25" xfId="0" applyFont="1" applyFill="1" applyBorder="1" applyAlignment="1">
      <alignment horizontal="center" vertical="center" wrapText="1"/>
    </xf>
    <xf numFmtId="0" fontId="35" fillId="50" borderId="25" xfId="0" applyFont="1" applyFill="1" applyBorder="1" applyAlignment="1">
      <alignment horizontal="center" vertical="center" wrapText="1"/>
    </xf>
    <xf numFmtId="0" fontId="0" fillId="50" borderId="25" xfId="0" applyFill="1" applyBorder="1" applyAlignment="1">
      <alignment horizontal="center" vertical="center" wrapText="1"/>
    </xf>
    <xf numFmtId="0" fontId="55" fillId="0" borderId="25" xfId="151" applyFont="1" applyBorder="1" applyAlignment="1">
      <alignment horizontal="center" vertical="center" wrapText="1"/>
    </xf>
    <xf numFmtId="0" fontId="85" fillId="0" borderId="25" xfId="151" applyFont="1" applyBorder="1" applyAlignment="1">
      <alignment horizontal="center" vertical="center" wrapText="1"/>
    </xf>
    <xf numFmtId="0" fontId="85" fillId="11" borderId="25" xfId="151" applyFont="1" applyFill="1" applyBorder="1" applyAlignment="1">
      <alignment horizontal="center" vertical="center" wrapText="1"/>
    </xf>
    <xf numFmtId="0" fontId="55" fillId="11" borderId="25" xfId="151" applyFont="1" applyFill="1" applyBorder="1" applyAlignment="1">
      <alignment horizontal="center" vertical="center" wrapText="1"/>
    </xf>
    <xf numFmtId="0" fontId="55" fillId="11" borderId="25" xfId="151" applyFont="1" applyFill="1" applyBorder="1" applyAlignment="1" applyProtection="1">
      <alignment horizontal="center" vertical="center" wrapText="1"/>
      <protection locked="0"/>
    </xf>
    <xf numFmtId="0" fontId="90" fillId="0" borderId="0" xfId="0" applyFont="1" applyAlignment="1">
      <alignment wrapText="1"/>
    </xf>
    <xf numFmtId="0" fontId="90" fillId="0" borderId="0" xfId="0" applyFont="1" applyAlignment="1">
      <alignment horizontal="center" vertical="center" wrapText="1"/>
    </xf>
    <xf numFmtId="0" fontId="94" fillId="30" borderId="2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6" fillId="0" borderId="25" xfId="191" applyFont="1" applyFill="1" applyBorder="1" applyAlignment="1">
      <alignment horizontal="center" vertical="center" wrapText="1"/>
    </xf>
    <xf numFmtId="0" fontId="97" fillId="0" borderId="25" xfId="0" applyFont="1" applyBorder="1" applyAlignment="1">
      <alignment horizontal="center" vertical="center"/>
    </xf>
    <xf numFmtId="0" fontId="96" fillId="21" borderId="25" xfId="191" applyFont="1" applyFill="1" applyBorder="1" applyAlignment="1">
      <alignment horizontal="center" vertical="center" wrapText="1"/>
    </xf>
    <xf numFmtId="0" fontId="55" fillId="30" borderId="25" xfId="0" applyFont="1" applyFill="1" applyBorder="1" applyAlignment="1">
      <alignment horizontal="center" vertical="center" wrapText="1"/>
    </xf>
    <xf numFmtId="0" fontId="55" fillId="0" borderId="25" xfId="0" applyFont="1" applyBorder="1" applyAlignment="1">
      <alignment horizontal="center" vertical="center"/>
    </xf>
    <xf numFmtId="0" fontId="85" fillId="11" borderId="25" xfId="173" applyFont="1" applyFill="1" applyBorder="1" applyAlignment="1">
      <alignment horizontal="center" vertical="center" wrapText="1"/>
    </xf>
    <xf numFmtId="0" fontId="55" fillId="11" borderId="25" xfId="173" applyFont="1" applyFill="1" applyBorder="1" applyAlignment="1">
      <alignment horizontal="center" vertical="center" wrapText="1"/>
    </xf>
    <xf numFmtId="0" fontId="55" fillId="0" borderId="25" xfId="166" applyFont="1" applyBorder="1" applyAlignment="1">
      <alignment horizontal="center" vertical="center" wrapText="1"/>
    </xf>
    <xf numFmtId="0" fontId="85" fillId="0" borderId="25" xfId="166" applyFont="1" applyBorder="1" applyAlignment="1">
      <alignment horizontal="center" vertical="center" wrapText="1"/>
    </xf>
    <xf numFmtId="0" fontId="55" fillId="11" borderId="25" xfId="5" applyFont="1" applyFill="1" applyBorder="1" applyAlignment="1">
      <alignment horizontal="center" vertical="center" wrapText="1"/>
    </xf>
    <xf numFmtId="0" fontId="55" fillId="0" borderId="25" xfId="4" applyFont="1" applyBorder="1" applyAlignment="1">
      <alignment horizontal="center" vertical="center" wrapText="1"/>
    </xf>
    <xf numFmtId="0" fontId="55" fillId="0" borderId="25" xfId="166" applyFont="1" applyBorder="1" applyAlignment="1" applyProtection="1">
      <alignment horizontal="center" vertical="center" wrapText="1"/>
      <protection locked="0"/>
    </xf>
    <xf numFmtId="0" fontId="85" fillId="0" borderId="25" xfId="166" applyFont="1" applyBorder="1" applyAlignment="1" applyProtection="1">
      <alignment horizontal="center" vertical="center" wrapText="1"/>
      <protection locked="0"/>
    </xf>
    <xf numFmtId="0" fontId="55" fillId="0" borderId="25" xfId="5" applyFont="1" applyBorder="1" applyAlignment="1">
      <alignment horizontal="center" vertical="center" wrapText="1"/>
    </xf>
    <xf numFmtId="0" fontId="85" fillId="0" borderId="25" xfId="4" applyFont="1" applyBorder="1" applyAlignment="1">
      <alignment horizontal="center" vertical="center" wrapText="1"/>
    </xf>
    <xf numFmtId="0" fontId="87" fillId="30" borderId="1" xfId="0" applyFont="1" applyFill="1" applyBorder="1" applyAlignment="1">
      <alignment vertical="top" wrapText="1"/>
    </xf>
    <xf numFmtId="0" fontId="87" fillId="30" borderId="3" xfId="0" applyFont="1" applyFill="1" applyBorder="1" applyAlignment="1">
      <alignment vertical="top" wrapText="1"/>
    </xf>
    <xf numFmtId="0" fontId="87" fillId="0" borderId="0" xfId="0" applyFont="1" applyAlignment="1">
      <alignment vertical="top" wrapText="1"/>
    </xf>
    <xf numFmtId="0" fontId="87" fillId="0" borderId="32" xfId="0" applyFont="1" applyBorder="1" applyAlignment="1">
      <alignment vertical="top"/>
    </xf>
    <xf numFmtId="0" fontId="93" fillId="30" borderId="6" xfId="0" applyFont="1" applyFill="1" applyBorder="1" applyAlignment="1">
      <alignment vertical="top" wrapText="1"/>
    </xf>
    <xf numFmtId="0" fontId="93" fillId="30" borderId="8" xfId="0" applyFont="1" applyFill="1" applyBorder="1" applyAlignment="1">
      <alignment vertical="top" wrapText="1"/>
    </xf>
    <xf numFmtId="0" fontId="92" fillId="0" borderId="33" xfId="0" applyFont="1" applyBorder="1" applyAlignment="1">
      <alignment horizontal="center" vertical="center" wrapText="1" readingOrder="1"/>
    </xf>
    <xf numFmtId="0" fontId="93" fillId="20" borderId="33" xfId="0" applyFont="1" applyFill="1" applyBorder="1" applyAlignment="1">
      <alignment horizontal="center" vertical="center" wrapText="1" readingOrder="1"/>
    </xf>
    <xf numFmtId="0" fontId="55" fillId="11" borderId="25" xfId="4" applyFont="1" applyFill="1" applyBorder="1" applyAlignment="1">
      <alignment horizontal="center" vertical="center" wrapText="1"/>
    </xf>
    <xf numFmtId="0" fontId="55" fillId="11" borderId="25" xfId="183" applyFont="1" applyFill="1" applyBorder="1" applyAlignment="1">
      <alignment horizontal="center" vertical="center" wrapText="1"/>
    </xf>
    <xf numFmtId="0" fontId="85" fillId="0" borderId="25" xfId="183" applyFont="1" applyBorder="1" applyAlignment="1">
      <alignment horizontal="center" vertical="center" wrapText="1"/>
    </xf>
    <xf numFmtId="0" fontId="55" fillId="0" borderId="25" xfId="183" applyFont="1" applyBorder="1" applyAlignment="1">
      <alignment horizontal="center" vertical="center" wrapText="1"/>
    </xf>
    <xf numFmtId="0" fontId="55" fillId="0" borderId="25" xfId="158" applyFont="1" applyBorder="1" applyAlignment="1">
      <alignment horizontal="left" vertical="center" wrapText="1"/>
    </xf>
    <xf numFmtId="0" fontId="55" fillId="0" borderId="25" xfId="183" applyFont="1" applyBorder="1" applyAlignment="1">
      <alignment horizontal="left" vertical="center" wrapText="1"/>
    </xf>
    <xf numFmtId="0" fontId="55" fillId="0" borderId="25" xfId="4" applyFont="1" applyBorder="1" applyAlignment="1">
      <alignment horizontal="left" vertical="center" wrapText="1"/>
    </xf>
    <xf numFmtId="0" fontId="55" fillId="0" borderId="25" xfId="4" applyFont="1" applyBorder="1" applyAlignment="1" applyProtection="1">
      <alignment horizontal="center" vertical="center" wrapText="1"/>
      <protection locked="0"/>
    </xf>
    <xf numFmtId="46" fontId="55" fillId="0" borderId="25" xfId="183" applyNumberFormat="1" applyFont="1" applyBorder="1" applyAlignment="1">
      <alignment horizontal="center" vertical="center" wrapText="1"/>
    </xf>
    <xf numFmtId="0" fontId="55" fillId="0" borderId="25" xfId="158" applyFont="1" applyBorder="1" applyAlignment="1">
      <alignment horizontal="center" vertical="center" wrapText="1"/>
    </xf>
    <xf numFmtId="14" fontId="55" fillId="0" borderId="25" xfId="183" applyNumberFormat="1" applyFont="1" applyBorder="1" applyAlignment="1">
      <alignment horizontal="center" vertical="center" wrapText="1"/>
    </xf>
    <xf numFmtId="0" fontId="55" fillId="11" borderId="25" xfId="0" applyFont="1" applyFill="1" applyBorder="1" applyAlignment="1">
      <alignment horizontal="center" vertical="center" wrapText="1"/>
    </xf>
    <xf numFmtId="0" fontId="55" fillId="11" borderId="25" xfId="0" applyFont="1" applyFill="1" applyBorder="1" applyAlignment="1">
      <alignment horizontal="center" vertical="center"/>
    </xf>
    <xf numFmtId="46" fontId="55" fillId="0" borderId="25" xfId="0" applyNumberFormat="1" applyFont="1" applyBorder="1" applyAlignment="1">
      <alignment horizontal="center" vertical="center" wrapText="1"/>
    </xf>
    <xf numFmtId="9" fontId="55" fillId="11" borderId="25" xfId="0" applyNumberFormat="1" applyFont="1" applyFill="1" applyBorder="1" applyAlignment="1">
      <alignment horizontal="center" vertical="center" wrapText="1"/>
    </xf>
    <xf numFmtId="9" fontId="55" fillId="11" borderId="25" xfId="0" applyNumberFormat="1" applyFont="1" applyFill="1" applyBorder="1" applyAlignment="1">
      <alignment horizontal="center" vertical="center"/>
    </xf>
    <xf numFmtId="0" fontId="92" fillId="20" borderId="33" xfId="0" applyFont="1" applyFill="1" applyBorder="1" applyAlignment="1">
      <alignment vertical="center" wrapText="1" readingOrder="1"/>
    </xf>
    <xf numFmtId="165" fontId="55" fillId="11" borderId="25" xfId="152" applyNumberFormat="1" applyFont="1" applyFill="1" applyBorder="1" applyAlignment="1">
      <alignment horizontal="center" vertical="center" wrapText="1"/>
    </xf>
    <xf numFmtId="0" fontId="99" fillId="0" borderId="25" xfId="151" applyFont="1" applyBorder="1" applyAlignment="1">
      <alignment horizontal="center" vertical="center"/>
    </xf>
    <xf numFmtId="0" fontId="45" fillId="11" borderId="25" xfId="166" applyFont="1" applyFill="1" applyBorder="1" applyAlignment="1" applyProtection="1">
      <alignment horizontal="center" vertical="center" wrapText="1"/>
      <protection locked="0"/>
    </xf>
    <xf numFmtId="0" fontId="45" fillId="24" borderId="25" xfId="166" applyFont="1" applyFill="1" applyBorder="1" applyAlignment="1" applyProtection="1">
      <alignment horizontal="center" vertical="center" wrapText="1"/>
      <protection locked="0"/>
    </xf>
    <xf numFmtId="14" fontId="45" fillId="11" borderId="25" xfId="166" applyNumberFormat="1" applyFont="1" applyFill="1" applyBorder="1" applyAlignment="1" applyProtection="1">
      <alignment horizontal="center" vertical="center" wrapText="1"/>
      <protection locked="0"/>
    </xf>
    <xf numFmtId="0" fontId="71" fillId="11" borderId="25" xfId="166" applyFont="1" applyFill="1" applyBorder="1" applyAlignment="1" applyProtection="1">
      <alignment horizontal="center" vertical="center" wrapText="1"/>
      <protection locked="0"/>
    </xf>
    <xf numFmtId="0" fontId="68" fillId="10" borderId="14" xfId="178" applyFont="1" applyFill="1" applyBorder="1" applyAlignment="1">
      <alignment horizontal="center" vertical="center" wrapText="1"/>
    </xf>
    <xf numFmtId="0" fontId="45" fillId="11" borderId="17" xfId="166" applyFont="1" applyFill="1" applyBorder="1" applyAlignment="1" applyProtection="1">
      <alignment horizontal="center" vertical="center" wrapText="1"/>
      <protection locked="0"/>
    </xf>
    <xf numFmtId="0" fontId="45" fillId="11" borderId="18" xfId="166" applyFont="1" applyFill="1" applyBorder="1" applyAlignment="1" applyProtection="1">
      <alignment horizontal="center" vertical="center" wrapText="1"/>
      <protection locked="0"/>
    </xf>
    <xf numFmtId="0" fontId="45" fillId="11" borderId="19" xfId="166" applyFont="1" applyFill="1" applyBorder="1" applyAlignment="1" applyProtection="1">
      <alignment horizontal="center" vertical="center" wrapText="1"/>
      <protection locked="0"/>
    </xf>
    <xf numFmtId="0" fontId="45" fillId="11" borderId="10" xfId="166" applyFont="1" applyFill="1" applyBorder="1" applyAlignment="1" applyProtection="1">
      <alignment horizontal="center" vertical="center" wrapText="1"/>
      <protection locked="0"/>
    </xf>
    <xf numFmtId="0" fontId="45" fillId="11" borderId="0" xfId="166" applyFont="1" applyFill="1" applyAlignment="1" applyProtection="1">
      <alignment horizontal="center" vertical="center" wrapText="1"/>
      <protection locked="0"/>
    </xf>
    <xf numFmtId="0" fontId="45" fillId="11" borderId="15" xfId="166" applyFont="1" applyFill="1" applyBorder="1" applyAlignment="1" applyProtection="1">
      <alignment horizontal="center" vertical="center" wrapText="1"/>
      <protection locked="0"/>
    </xf>
    <xf numFmtId="0" fontId="45" fillId="11" borderId="13" xfId="166" applyFont="1" applyFill="1" applyBorder="1" applyAlignment="1" applyProtection="1">
      <alignment horizontal="center" vertical="center" wrapText="1"/>
      <protection locked="0"/>
    </xf>
    <xf numFmtId="0" fontId="45" fillId="11" borderId="12" xfId="166" applyFont="1" applyFill="1" applyBorder="1" applyAlignment="1" applyProtection="1">
      <alignment horizontal="center" vertical="center" wrapText="1"/>
      <protection locked="0"/>
    </xf>
    <xf numFmtId="0" fontId="45" fillId="11" borderId="11" xfId="166" applyFont="1" applyFill="1" applyBorder="1" applyAlignment="1" applyProtection="1">
      <alignment horizontal="center" vertical="center" wrapText="1"/>
      <protection locked="0"/>
    </xf>
    <xf numFmtId="0" fontId="45" fillId="24" borderId="25" xfId="166" applyFont="1" applyFill="1" applyBorder="1" applyAlignment="1" applyProtection="1">
      <alignment horizontal="center" vertical="center"/>
      <protection locked="0"/>
    </xf>
    <xf numFmtId="0" fontId="68" fillId="10" borderId="25" xfId="178" applyFont="1" applyFill="1" applyBorder="1" applyAlignment="1">
      <alignment horizontal="center" vertical="center"/>
    </xf>
    <xf numFmtId="0" fontId="68" fillId="25" borderId="25" xfId="174" applyFont="1" applyFill="1" applyBorder="1" applyAlignment="1" applyProtection="1">
      <alignment horizontal="center" vertical="center" wrapText="1"/>
      <protection locked="0"/>
    </xf>
    <xf numFmtId="0" fontId="45" fillId="32" borderId="27" xfId="166" applyFont="1" applyFill="1" applyBorder="1" applyAlignment="1" applyProtection="1">
      <alignment horizontal="center" vertical="center"/>
      <protection locked="0"/>
    </xf>
    <xf numFmtId="0" fontId="45" fillId="32" borderId="31" xfId="166" applyFont="1" applyFill="1" applyBorder="1" applyAlignment="1" applyProtection="1">
      <alignment horizontal="center" vertical="center"/>
      <protection locked="0"/>
    </xf>
    <xf numFmtId="0" fontId="45" fillId="32" borderId="26" xfId="166" applyFont="1" applyFill="1" applyBorder="1" applyAlignment="1" applyProtection="1">
      <alignment horizontal="center" vertical="center"/>
      <protection locked="0"/>
    </xf>
    <xf numFmtId="0" fontId="45" fillId="33" borderId="27" xfId="166" applyFont="1" applyFill="1" applyBorder="1" applyAlignment="1" applyProtection="1">
      <alignment horizontal="center" vertical="center"/>
      <protection locked="0"/>
    </xf>
    <xf numFmtId="0" fontId="45" fillId="33" borderId="31" xfId="166" applyFont="1" applyFill="1" applyBorder="1" applyAlignment="1" applyProtection="1">
      <alignment horizontal="center" vertical="center"/>
      <protection locked="0"/>
    </xf>
    <xf numFmtId="0" fontId="45" fillId="33" borderId="26" xfId="166" applyFont="1" applyFill="1" applyBorder="1" applyAlignment="1" applyProtection="1">
      <alignment horizontal="center" vertical="center"/>
      <protection locked="0"/>
    </xf>
    <xf numFmtId="0" fontId="45" fillId="31" borderId="27" xfId="166" applyFont="1" applyFill="1" applyBorder="1" applyAlignment="1" applyProtection="1">
      <alignment horizontal="center" vertical="center"/>
      <protection locked="0"/>
    </xf>
    <xf numFmtId="0" fontId="45" fillId="31" borderId="31" xfId="166" applyFont="1" applyFill="1" applyBorder="1" applyAlignment="1" applyProtection="1">
      <alignment horizontal="center" vertical="center"/>
      <protection locked="0"/>
    </xf>
    <xf numFmtId="0" fontId="45" fillId="31" borderId="26" xfId="166" applyFont="1" applyFill="1" applyBorder="1" applyAlignment="1" applyProtection="1">
      <alignment horizontal="center" vertical="center"/>
      <protection locked="0"/>
    </xf>
    <xf numFmtId="0" fontId="68" fillId="10" borderId="27" xfId="178" applyFont="1" applyFill="1" applyBorder="1" applyAlignment="1">
      <alignment horizontal="center" vertical="center" wrapText="1"/>
    </xf>
    <xf numFmtId="0" fontId="68" fillId="10" borderId="26" xfId="178" applyFont="1" applyFill="1" applyBorder="1" applyAlignment="1">
      <alignment horizontal="center" vertical="center" wrapText="1"/>
    </xf>
    <xf numFmtId="0" fontId="45" fillId="31" borderId="27" xfId="166" applyFont="1" applyFill="1" applyBorder="1" applyAlignment="1" applyProtection="1">
      <alignment horizontal="center" vertical="center" wrapText="1"/>
      <protection locked="0"/>
    </xf>
    <xf numFmtId="0" fontId="45" fillId="31" borderId="31" xfId="166" applyFont="1" applyFill="1" applyBorder="1" applyAlignment="1" applyProtection="1">
      <alignment horizontal="center" vertical="center" wrapText="1"/>
      <protection locked="0"/>
    </xf>
    <xf numFmtId="0" fontId="45" fillId="31" borderId="26" xfId="166" applyFont="1" applyFill="1" applyBorder="1" applyAlignment="1" applyProtection="1">
      <alignment horizontal="center" vertical="center" wrapText="1"/>
      <protection locked="0"/>
    </xf>
    <xf numFmtId="0" fontId="45" fillId="32" borderId="27" xfId="166" applyFont="1" applyFill="1" applyBorder="1" applyAlignment="1" applyProtection="1">
      <alignment horizontal="center" vertical="center" wrapText="1"/>
      <protection locked="0"/>
    </xf>
    <xf numFmtId="0" fontId="45" fillId="32" borderId="31" xfId="166" applyFont="1" applyFill="1" applyBorder="1" applyAlignment="1" applyProtection="1">
      <alignment horizontal="center" vertical="center" wrapText="1"/>
      <protection locked="0"/>
    </xf>
    <xf numFmtId="0" fontId="45" fillId="32" borderId="26" xfId="166" applyFont="1" applyFill="1" applyBorder="1" applyAlignment="1" applyProtection="1">
      <alignment horizontal="center" vertical="center" wrapText="1"/>
      <protection locked="0"/>
    </xf>
    <xf numFmtId="0" fontId="45" fillId="33" borderId="27" xfId="166" applyFont="1" applyFill="1" applyBorder="1" applyAlignment="1" applyProtection="1">
      <alignment horizontal="center" vertical="center" wrapText="1"/>
      <protection locked="0"/>
    </xf>
    <xf numFmtId="0" fontId="45" fillId="33" borderId="31" xfId="166" applyFont="1" applyFill="1" applyBorder="1" applyAlignment="1" applyProtection="1">
      <alignment horizontal="center" vertical="center" wrapText="1"/>
      <protection locked="0"/>
    </xf>
    <xf numFmtId="0" fontId="45" fillId="33" borderId="26" xfId="166" applyFont="1" applyFill="1" applyBorder="1" applyAlignment="1" applyProtection="1">
      <alignment horizontal="center" vertical="center" wrapText="1"/>
      <protection locked="0"/>
    </xf>
    <xf numFmtId="0" fontId="68" fillId="10" borderId="18" xfId="178" applyFont="1" applyFill="1" applyBorder="1" applyAlignment="1">
      <alignment horizontal="center" vertical="center"/>
    </xf>
    <xf numFmtId="0" fontId="68" fillId="10" borderId="19" xfId="178" applyFont="1" applyFill="1" applyBorder="1" applyAlignment="1">
      <alignment horizontal="center" vertical="center"/>
    </xf>
    <xf numFmtId="0" fontId="40" fillId="24" borderId="25" xfId="166" applyFont="1" applyFill="1" applyBorder="1" applyAlignment="1" applyProtection="1">
      <alignment horizontal="center" vertical="center"/>
      <protection locked="0"/>
    </xf>
    <xf numFmtId="0" fontId="61" fillId="11" borderId="25" xfId="166" applyFont="1" applyFill="1" applyBorder="1" applyAlignment="1" applyProtection="1">
      <alignment horizontal="center" vertical="center" wrapText="1"/>
      <protection locked="0"/>
    </xf>
    <xf numFmtId="0" fontId="41" fillId="11" borderId="25" xfId="166" applyFont="1" applyFill="1" applyBorder="1" applyAlignment="1" applyProtection="1">
      <alignment horizontal="center" vertical="center" wrapText="1"/>
      <protection locked="0"/>
    </xf>
    <xf numFmtId="0" fontId="59" fillId="11" borderId="25" xfId="166" applyFont="1" applyFill="1" applyBorder="1" applyAlignment="1" applyProtection="1">
      <alignment horizontal="center" vertical="center" wrapText="1"/>
      <protection locked="0"/>
    </xf>
    <xf numFmtId="14" fontId="41" fillId="11" borderId="25" xfId="166" applyNumberFormat="1" applyFont="1" applyFill="1" applyBorder="1" applyAlignment="1" applyProtection="1">
      <alignment horizontal="center" vertical="center" wrapText="1"/>
      <protection locked="0"/>
    </xf>
    <xf numFmtId="0" fontId="42" fillId="11" borderId="25" xfId="166" applyFont="1" applyFill="1" applyBorder="1" applyAlignment="1" applyProtection="1">
      <alignment horizontal="center" vertical="center" wrapText="1"/>
      <protection locked="0"/>
    </xf>
    <xf numFmtId="0" fontId="83" fillId="10" borderId="18" xfId="178" applyFont="1" applyFill="1" applyBorder="1" applyAlignment="1">
      <alignment horizontal="center" vertical="center"/>
    </xf>
    <xf numFmtId="0" fontId="83" fillId="10" borderId="30" xfId="178" applyFont="1" applyFill="1" applyBorder="1" applyAlignment="1">
      <alignment horizontal="center" vertical="center"/>
    </xf>
    <xf numFmtId="0" fontId="41" fillId="24" borderId="25" xfId="166" applyFont="1" applyFill="1" applyBorder="1" applyAlignment="1" applyProtection="1">
      <alignment horizontal="center" vertical="center" wrapText="1"/>
      <protection locked="0"/>
    </xf>
    <xf numFmtId="0" fontId="45" fillId="24" borderId="25" xfId="151" applyFont="1" applyFill="1" applyBorder="1" applyAlignment="1" applyProtection="1">
      <alignment horizontal="center" vertical="center" wrapText="1"/>
      <protection locked="0"/>
    </xf>
    <xf numFmtId="0" fontId="45" fillId="24" borderId="25" xfId="151" applyFont="1" applyFill="1" applyBorder="1" applyAlignment="1" applyProtection="1">
      <alignment horizontal="center" vertical="center"/>
      <protection locked="0"/>
    </xf>
    <xf numFmtId="0" fontId="45" fillId="11" borderId="25" xfId="151" applyFont="1" applyFill="1" applyBorder="1" applyAlignment="1" applyProtection="1">
      <alignment horizontal="center" vertical="center" wrapText="1"/>
      <protection locked="0"/>
    </xf>
    <xf numFmtId="0" fontId="45" fillId="47" borderId="25" xfId="151" applyFont="1" applyFill="1" applyBorder="1" applyAlignment="1" applyProtection="1">
      <alignment horizontal="center" vertical="center"/>
      <protection locked="0"/>
    </xf>
    <xf numFmtId="14" fontId="45" fillId="11" borderId="25" xfId="151" applyNumberFormat="1" applyFont="1" applyFill="1" applyBorder="1" applyAlignment="1" applyProtection="1">
      <alignment horizontal="center" vertical="center" wrapText="1"/>
      <protection locked="0"/>
    </xf>
    <xf numFmtId="0" fontId="71" fillId="11" borderId="25" xfId="151" applyFont="1" applyFill="1" applyBorder="1" applyAlignment="1" applyProtection="1">
      <alignment horizontal="center" vertical="center" wrapText="1"/>
      <protection locked="0"/>
    </xf>
    <xf numFmtId="0" fontId="47" fillId="11" borderId="25" xfId="166" applyFont="1" applyFill="1" applyBorder="1" applyAlignment="1" applyProtection="1">
      <alignment horizontal="center" vertical="center" wrapText="1"/>
      <protection locked="0"/>
    </xf>
    <xf numFmtId="0" fontId="50" fillId="0" borderId="25" xfId="4" applyFont="1" applyBorder="1" applyAlignment="1">
      <alignment horizontal="center" vertical="center" wrapText="1"/>
    </xf>
    <xf numFmtId="0" fontId="55" fillId="11" borderId="25" xfId="173" applyFont="1" applyFill="1" applyBorder="1" applyAlignment="1">
      <alignment horizontal="center" vertical="center" wrapText="1"/>
    </xf>
    <xf numFmtId="9" fontId="50" fillId="2" borderId="26" xfId="172" applyNumberFormat="1" applyFont="1" applyFill="1" applyBorder="1" applyAlignment="1">
      <alignment horizontal="center" vertical="center"/>
    </xf>
    <xf numFmtId="0" fontId="55" fillId="0" borderId="27" xfId="166" applyFont="1" applyBorder="1" applyAlignment="1">
      <alignment horizontal="center" vertical="center" wrapText="1"/>
    </xf>
    <xf numFmtId="9" fontId="51" fillId="0" borderId="25" xfId="170" applyFont="1" applyBorder="1" applyAlignment="1">
      <alignment horizontal="center" vertical="center"/>
    </xf>
    <xf numFmtId="0" fontId="50" fillId="0" borderId="27" xfId="4" applyFont="1" applyBorder="1" applyAlignment="1">
      <alignment horizontal="center" vertical="center" wrapText="1"/>
    </xf>
    <xf numFmtId="1" fontId="50" fillId="11" borderId="25" xfId="173" applyNumberFormat="1" applyFont="1" applyFill="1" applyBorder="1" applyAlignment="1">
      <alignment horizontal="center" vertical="center" wrapText="1"/>
    </xf>
    <xf numFmtId="0" fontId="50" fillId="11" borderId="25" xfId="166" applyFont="1" applyFill="1" applyBorder="1" applyAlignment="1" applyProtection="1">
      <alignment horizontal="center" vertical="center" wrapText="1"/>
      <protection locked="0"/>
    </xf>
    <xf numFmtId="0" fontId="50" fillId="11" borderId="25" xfId="166" applyFont="1" applyFill="1" applyBorder="1" applyAlignment="1" applyProtection="1">
      <alignment horizontal="center" vertical="center"/>
      <protection locked="0"/>
    </xf>
    <xf numFmtId="0" fontId="47" fillId="0" borderId="1" xfId="166" applyFont="1" applyBorder="1" applyAlignment="1" applyProtection="1">
      <alignment horizontal="center" vertical="center" wrapText="1"/>
      <protection locked="0"/>
    </xf>
    <xf numFmtId="9" fontId="50" fillId="11" borderId="25" xfId="4" applyNumberFormat="1" applyFont="1" applyFill="1" applyBorder="1" applyAlignment="1">
      <alignment horizontal="center" vertical="center" wrapText="1"/>
    </xf>
    <xf numFmtId="9" fontId="50" fillId="0" borderId="25" xfId="170" applyFont="1" applyBorder="1" applyAlignment="1">
      <alignment horizontal="center" vertical="center" wrapText="1"/>
    </xf>
    <xf numFmtId="9" fontId="50" fillId="0" borderId="25" xfId="166" applyNumberFormat="1" applyFont="1" applyBorder="1" applyAlignment="1" applyProtection="1">
      <alignment horizontal="center" vertical="center"/>
      <protection locked="0"/>
    </xf>
    <xf numFmtId="9" fontId="50" fillId="2" borderId="25" xfId="172" applyNumberFormat="1" applyFont="1" applyFill="1" applyBorder="1" applyAlignment="1">
      <alignment horizontal="center" vertical="center"/>
    </xf>
    <xf numFmtId="9" fontId="51" fillId="2" borderId="25" xfId="168" applyNumberFormat="1" applyFont="1" applyFill="1" applyBorder="1" applyAlignment="1">
      <alignment horizontal="center" vertical="center"/>
    </xf>
    <xf numFmtId="0" fontId="68" fillId="10" borderId="25" xfId="172" applyFont="1" applyFill="1" applyBorder="1" applyAlignment="1">
      <alignment horizontal="center" vertical="center"/>
    </xf>
    <xf numFmtId="1" fontId="51" fillId="11" borderId="25" xfId="166" applyNumberFormat="1" applyFont="1" applyFill="1" applyBorder="1" applyAlignment="1">
      <alignment horizontal="center" vertical="center"/>
    </xf>
    <xf numFmtId="1" fontId="51" fillId="0" borderId="25" xfId="168" applyNumberFormat="1" applyFont="1" applyBorder="1" applyAlignment="1">
      <alignment horizontal="center" vertical="center"/>
    </xf>
    <xf numFmtId="166" fontId="50" fillId="11" borderId="25" xfId="173" applyNumberFormat="1" applyFont="1" applyFill="1" applyBorder="1" applyAlignment="1">
      <alignment horizontal="center" vertical="center" wrapText="1"/>
    </xf>
    <xf numFmtId="165" fontId="50" fillId="0" borderId="25" xfId="4" applyNumberFormat="1" applyFont="1" applyBorder="1" applyAlignment="1">
      <alignment horizontal="center" vertical="center" wrapText="1"/>
    </xf>
    <xf numFmtId="1" fontId="51" fillId="0" borderId="25" xfId="166" applyNumberFormat="1" applyFont="1" applyBorder="1" applyAlignment="1">
      <alignment horizontal="center" vertical="center"/>
    </xf>
    <xf numFmtId="14" fontId="50" fillId="0" borderId="27" xfId="4" applyNumberFormat="1" applyFont="1" applyBorder="1" applyAlignment="1">
      <alignment horizontal="center" vertical="center"/>
    </xf>
    <xf numFmtId="165" fontId="50" fillId="11" borderId="25" xfId="173" applyNumberFormat="1" applyFont="1" applyFill="1" applyBorder="1" applyAlignment="1">
      <alignment horizontal="center" vertical="center" wrapText="1"/>
    </xf>
    <xf numFmtId="0" fontId="45" fillId="11" borderId="25" xfId="166" applyFont="1" applyFill="1" applyBorder="1" applyAlignment="1" applyProtection="1">
      <alignment horizontal="center" vertical="center"/>
      <protection locked="0"/>
    </xf>
    <xf numFmtId="0" fontId="68" fillId="10" borderId="18" xfId="172" applyFont="1" applyFill="1" applyBorder="1" applyAlignment="1">
      <alignment horizontal="center" vertical="center"/>
    </xf>
    <xf numFmtId="0" fontId="68" fillId="10" borderId="30" xfId="172" applyFont="1" applyFill="1" applyBorder="1" applyAlignment="1">
      <alignment horizontal="center" vertical="center"/>
    </xf>
    <xf numFmtId="0" fontId="68" fillId="10" borderId="19" xfId="172" applyFont="1" applyFill="1" applyBorder="1" applyAlignment="1">
      <alignment horizontal="center" vertical="center"/>
    </xf>
    <xf numFmtId="0" fontId="45" fillId="11" borderId="25" xfId="174" applyFont="1" applyFill="1" applyBorder="1" applyAlignment="1" applyProtection="1">
      <alignment horizontal="center" vertical="center" wrapText="1"/>
      <protection locked="0"/>
    </xf>
    <xf numFmtId="0" fontId="45" fillId="17" borderId="25" xfId="174" applyFont="1" applyFill="1" applyBorder="1" applyAlignment="1" applyProtection="1">
      <alignment horizontal="center" vertical="center" wrapText="1"/>
      <protection locked="0"/>
    </xf>
    <xf numFmtId="0" fontId="45" fillId="26" borderId="25" xfId="174" applyFont="1" applyFill="1" applyBorder="1" applyAlignment="1" applyProtection="1">
      <alignment horizontal="center" vertical="center" wrapText="1"/>
      <protection locked="0"/>
    </xf>
    <xf numFmtId="0" fontId="45" fillId="27" borderId="25" xfId="174" applyFont="1" applyFill="1" applyBorder="1" applyAlignment="1" applyProtection="1">
      <alignment horizontal="center" vertical="center" wrapText="1"/>
      <protection locked="0"/>
    </xf>
    <xf numFmtId="0" fontId="45" fillId="24" borderId="25" xfId="174" applyFont="1" applyFill="1" applyBorder="1" applyAlignment="1" applyProtection="1">
      <alignment horizontal="center" vertical="center" wrapText="1"/>
      <protection locked="0"/>
    </xf>
    <xf numFmtId="0" fontId="71" fillId="11" borderId="25" xfId="174" applyFont="1" applyFill="1" applyBorder="1" applyAlignment="1" applyProtection="1">
      <alignment horizontal="center" vertical="center" wrapText="1"/>
      <protection locked="0"/>
    </xf>
    <xf numFmtId="0" fontId="68" fillId="11" borderId="25" xfId="174" applyFont="1" applyFill="1" applyBorder="1" applyAlignment="1" applyProtection="1">
      <alignment horizontal="center" vertical="center" wrapText="1"/>
      <protection locked="0"/>
    </xf>
    <xf numFmtId="14" fontId="45" fillId="11" borderId="25" xfId="174" applyNumberFormat="1" applyFont="1" applyFill="1" applyBorder="1" applyAlignment="1" applyProtection="1">
      <alignment horizontal="center" vertical="center" wrapText="1"/>
      <protection locked="0"/>
    </xf>
    <xf numFmtId="0" fontId="68" fillId="10" borderId="29" xfId="178" applyFont="1" applyFill="1" applyBorder="1" applyAlignment="1">
      <alignment horizontal="center" vertical="center" wrapText="1"/>
    </xf>
    <xf numFmtId="0" fontId="68" fillId="10" borderId="25" xfId="178" applyFont="1" applyFill="1" applyBorder="1" applyAlignment="1">
      <alignment horizontal="center" vertical="center" wrapText="1"/>
    </xf>
    <xf numFmtId="0" fontId="45" fillId="17" borderId="25" xfId="166" applyFont="1" applyFill="1" applyBorder="1" applyAlignment="1" applyProtection="1">
      <alignment horizontal="center" vertical="center"/>
      <protection locked="0"/>
    </xf>
    <xf numFmtId="0" fontId="45" fillId="26" borderId="25" xfId="166" applyFont="1" applyFill="1" applyBorder="1" applyAlignment="1" applyProtection="1">
      <alignment horizontal="center" vertical="center"/>
      <protection locked="0"/>
    </xf>
    <xf numFmtId="0" fontId="45" fillId="27" borderId="25" xfId="166" applyFont="1" applyFill="1" applyBorder="1" applyAlignment="1" applyProtection="1">
      <alignment horizontal="center" vertical="center"/>
      <protection locked="0"/>
    </xf>
    <xf numFmtId="0" fontId="50" fillId="11" borderId="25" xfId="4" applyFont="1" applyFill="1" applyBorder="1" applyAlignment="1">
      <alignment horizontal="center" vertical="center" wrapText="1"/>
    </xf>
    <xf numFmtId="49" fontId="50" fillId="11" borderId="25" xfId="4" applyNumberFormat="1" applyFont="1" applyFill="1" applyBorder="1" applyAlignment="1" applyProtection="1">
      <alignment horizontal="center" vertical="center" wrapText="1"/>
      <protection locked="0"/>
    </xf>
    <xf numFmtId="0" fontId="50" fillId="11" borderId="25" xfId="4" applyFont="1" applyFill="1" applyBorder="1" applyAlignment="1">
      <alignment horizontal="center" vertical="center"/>
    </xf>
    <xf numFmtId="165" fontId="50" fillId="11" borderId="25" xfId="172" applyNumberFormat="1" applyFont="1" applyFill="1" applyBorder="1" applyAlignment="1">
      <alignment horizontal="center" vertical="center" wrapText="1"/>
    </xf>
    <xf numFmtId="0" fontId="68" fillId="10" borderId="27" xfId="172" applyFont="1" applyFill="1" applyBorder="1" applyAlignment="1">
      <alignment horizontal="center" vertical="center"/>
    </xf>
    <xf numFmtId="0" fontId="68" fillId="10" borderId="31" xfId="172" applyFont="1" applyFill="1" applyBorder="1" applyAlignment="1">
      <alignment horizontal="center" vertical="center"/>
    </xf>
    <xf numFmtId="0" fontId="68" fillId="10" borderId="26" xfId="172" applyFont="1" applyFill="1" applyBorder="1" applyAlignment="1">
      <alignment horizontal="center" vertical="center"/>
    </xf>
    <xf numFmtId="0" fontId="50" fillId="0" borderId="25" xfId="166" applyFont="1" applyBorder="1" applyAlignment="1">
      <alignment horizontal="center" vertical="center" wrapText="1"/>
    </xf>
    <xf numFmtId="0" fontId="50" fillId="0" borderId="25" xfId="166" applyFont="1" applyBorder="1" applyAlignment="1">
      <alignment horizontal="center" vertical="center"/>
    </xf>
    <xf numFmtId="0" fontId="50" fillId="11" borderId="25" xfId="173" applyFont="1" applyFill="1" applyBorder="1" applyAlignment="1">
      <alignment horizontal="center" vertical="center" wrapText="1"/>
    </xf>
    <xf numFmtId="9" fontId="51" fillId="0" borderId="25" xfId="170" applyFont="1" applyFill="1" applyBorder="1" applyAlignment="1">
      <alignment horizontal="center" vertical="center"/>
    </xf>
    <xf numFmtId="166" fontId="50" fillId="11" borderId="25" xfId="173" applyNumberFormat="1" applyFont="1" applyFill="1" applyBorder="1" applyAlignment="1">
      <alignment horizontal="center" vertical="center"/>
    </xf>
    <xf numFmtId="0" fontId="45" fillId="27" borderId="25" xfId="0" applyFont="1" applyFill="1" applyBorder="1" applyAlignment="1" applyProtection="1">
      <alignment horizontal="center" vertical="center"/>
      <protection locked="0"/>
    </xf>
    <xf numFmtId="0" fontId="45" fillId="24" borderId="25" xfId="0" applyFont="1" applyFill="1" applyBorder="1" applyAlignment="1" applyProtection="1">
      <alignment horizontal="center" vertical="center"/>
      <protection locked="0"/>
    </xf>
    <xf numFmtId="0" fontId="45" fillId="11" borderId="25" xfId="0" applyFont="1" applyFill="1" applyBorder="1" applyAlignment="1" applyProtection="1">
      <alignment horizontal="center" vertical="center" wrapText="1"/>
      <protection locked="0"/>
    </xf>
    <xf numFmtId="0" fontId="71" fillId="11" borderId="25" xfId="0" applyFont="1" applyFill="1" applyBorder="1" applyAlignment="1" applyProtection="1">
      <alignment horizontal="center" vertical="center" wrapText="1"/>
      <protection locked="0"/>
    </xf>
    <xf numFmtId="0" fontId="45" fillId="24" borderId="25" xfId="0" applyFont="1" applyFill="1" applyBorder="1" applyAlignment="1" applyProtection="1">
      <alignment horizontal="center" vertical="center" wrapText="1"/>
      <protection locked="0"/>
    </xf>
    <xf numFmtId="0" fontId="68" fillId="10" borderId="25" xfId="188" applyFont="1" applyFill="1" applyBorder="1" applyAlignment="1">
      <alignment horizontal="center" vertical="center"/>
    </xf>
    <xf numFmtId="14" fontId="45" fillId="11" borderId="25" xfId="0" applyNumberFormat="1" applyFont="1" applyFill="1" applyBorder="1" applyAlignment="1" applyProtection="1">
      <alignment horizontal="center" vertical="center" wrapText="1"/>
      <protection locked="0"/>
    </xf>
    <xf numFmtId="0" fontId="45" fillId="17" borderId="25" xfId="0" applyFont="1" applyFill="1" applyBorder="1" applyAlignment="1" applyProtection="1">
      <alignment horizontal="center" vertical="center"/>
      <protection locked="0"/>
    </xf>
    <xf numFmtId="0" fontId="45" fillId="26" borderId="25" xfId="0" applyFont="1" applyFill="1" applyBorder="1" applyAlignment="1" applyProtection="1">
      <alignment horizontal="center" vertical="center"/>
      <protection locked="0"/>
    </xf>
    <xf numFmtId="0" fontId="47" fillId="11" borderId="25" xfId="174" applyFont="1" applyFill="1" applyBorder="1" applyAlignment="1" applyProtection="1">
      <alignment horizontal="center" vertical="center" wrapText="1"/>
      <protection locked="0"/>
    </xf>
    <xf numFmtId="0" fontId="68" fillId="10" borderId="25" xfId="188" applyFont="1" applyFill="1" applyBorder="1" applyAlignment="1">
      <alignment horizontal="center" vertical="center" wrapText="1"/>
    </xf>
    <xf numFmtId="0" fontId="45" fillId="17" borderId="25" xfId="0" applyFont="1" applyFill="1" applyBorder="1" applyAlignment="1" applyProtection="1">
      <alignment horizontal="center" vertical="center" wrapText="1"/>
      <protection locked="0"/>
    </xf>
    <xf numFmtId="0" fontId="45" fillId="26" borderId="25" xfId="0" applyFont="1" applyFill="1" applyBorder="1" applyAlignment="1" applyProtection="1">
      <alignment horizontal="center" vertical="center" wrapText="1"/>
      <protection locked="0"/>
    </xf>
    <xf numFmtId="0" fontId="45" fillId="27" borderId="25" xfId="0" applyFont="1" applyFill="1" applyBorder="1" applyAlignment="1" applyProtection="1">
      <alignment horizontal="center" vertical="center" wrapText="1"/>
      <protection locked="0"/>
    </xf>
    <xf numFmtId="0" fontId="68" fillId="44" borderId="14" xfId="0" applyFont="1" applyFill="1" applyBorder="1" applyAlignment="1">
      <alignment horizontal="center" vertical="center" wrapText="1"/>
    </xf>
    <xf numFmtId="0" fontId="45" fillId="17" borderId="28" xfId="0" applyFont="1" applyFill="1" applyBorder="1" applyAlignment="1" applyProtection="1">
      <alignment horizontal="center" vertical="center" wrapText="1"/>
      <protection locked="0"/>
    </xf>
    <xf numFmtId="0" fontId="45" fillId="26" borderId="28" xfId="0" applyFont="1" applyFill="1" applyBorder="1" applyAlignment="1" applyProtection="1">
      <alignment horizontal="center" vertical="center" wrapText="1"/>
      <protection locked="0"/>
    </xf>
    <xf numFmtId="0" fontId="68" fillId="10" borderId="14" xfId="188" applyFont="1" applyFill="1" applyBorder="1" applyAlignment="1">
      <alignment horizontal="center" vertical="center" wrapText="1"/>
    </xf>
    <xf numFmtId="0" fontId="91" fillId="0" borderId="33" xfId="0" applyFont="1" applyBorder="1" applyAlignment="1">
      <alignment horizontal="center" vertical="center" wrapText="1" readingOrder="1"/>
    </xf>
    <xf numFmtId="0" fontId="92" fillId="0" borderId="33" xfId="0" applyFont="1" applyBorder="1" applyAlignment="1">
      <alignment horizontal="center" vertical="center" wrapText="1" readingOrder="1"/>
    </xf>
    <xf numFmtId="0" fontId="50" fillId="11" borderId="33" xfId="1" applyFont="1" applyFill="1" applyBorder="1" applyAlignment="1" applyProtection="1">
      <alignment horizontal="center" vertical="center" wrapText="1"/>
      <protection locked="0"/>
    </xf>
    <xf numFmtId="0" fontId="92" fillId="20" borderId="33" xfId="0" applyFont="1" applyFill="1" applyBorder="1" applyAlignment="1">
      <alignment horizontal="center" vertical="center" wrapText="1" readingOrder="1"/>
    </xf>
    <xf numFmtId="0" fontId="91" fillId="0" borderId="36" xfId="0" applyFont="1" applyBorder="1" applyAlignment="1">
      <alignment horizontal="center" vertical="center" wrapText="1" readingOrder="1"/>
    </xf>
    <xf numFmtId="0" fontId="91" fillId="0" borderId="37" xfId="0" applyFont="1" applyBorder="1" applyAlignment="1">
      <alignment horizontal="center" vertical="center" wrapText="1" readingOrder="1"/>
    </xf>
    <xf numFmtId="0" fontId="91" fillId="0" borderId="38" xfId="0" applyFont="1" applyBorder="1" applyAlignment="1">
      <alignment horizontal="center" vertical="center" wrapText="1" readingOrder="1"/>
    </xf>
    <xf numFmtId="0" fontId="92" fillId="0" borderId="36" xfId="0" applyFont="1" applyBorder="1" applyAlignment="1">
      <alignment horizontal="center" vertical="center" wrapText="1" readingOrder="1"/>
    </xf>
    <xf numFmtId="0" fontId="92" fillId="0" borderId="37" xfId="0" applyFont="1" applyBorder="1" applyAlignment="1">
      <alignment horizontal="center" vertical="center" wrapText="1" readingOrder="1"/>
    </xf>
    <xf numFmtId="0" fontId="92" fillId="0" borderId="38" xfId="0" applyFont="1" applyBorder="1" applyAlignment="1">
      <alignment horizontal="center" vertical="center" wrapText="1" readingOrder="1"/>
    </xf>
    <xf numFmtId="0" fontId="50" fillId="0" borderId="25" xfId="188" applyFont="1" applyBorder="1" applyAlignment="1">
      <alignment horizontal="center" vertical="center"/>
    </xf>
    <xf numFmtId="0" fontId="50" fillId="23" borderId="25" xfId="188" applyFont="1" applyFill="1" applyBorder="1" applyAlignment="1">
      <alignment horizontal="center" vertical="center"/>
    </xf>
    <xf numFmtId="0" fontId="51" fillId="11" borderId="25" xfId="4" applyFont="1" applyFill="1" applyBorder="1" applyAlignment="1">
      <alignment horizontal="center" vertical="center"/>
    </xf>
    <xf numFmtId="0" fontId="50" fillId="11" borderId="25" xfId="183" applyFont="1" applyFill="1" applyBorder="1" applyAlignment="1">
      <alignment horizontal="center" vertical="center" wrapText="1"/>
    </xf>
    <xf numFmtId="0" fontId="50" fillId="11" borderId="25" xfId="4" applyFont="1" applyFill="1" applyBorder="1" applyAlignment="1" applyProtection="1">
      <alignment horizontal="center" vertical="center" wrapText="1"/>
      <protection locked="0"/>
    </xf>
    <xf numFmtId="0" fontId="50" fillId="11" borderId="25" xfId="0" applyFont="1" applyFill="1" applyBorder="1" applyAlignment="1">
      <alignment horizontal="center" vertical="center" wrapText="1"/>
    </xf>
    <xf numFmtId="0" fontId="50" fillId="11" borderId="28" xfId="0" applyFont="1" applyFill="1" applyBorder="1" applyAlignment="1">
      <alignment horizontal="center" vertical="center" wrapText="1"/>
    </xf>
    <xf numFmtId="0" fontId="50" fillId="11" borderId="14" xfId="0" applyFont="1" applyFill="1" applyBorder="1" applyAlignment="1">
      <alignment horizontal="center" vertical="center" wrapText="1"/>
    </xf>
    <xf numFmtId="0" fontId="47" fillId="0" borderId="25" xfId="0" applyFont="1" applyBorder="1" applyAlignment="1">
      <alignment horizontal="center" vertical="center"/>
    </xf>
    <xf numFmtId="0" fontId="50" fillId="11" borderId="25" xfId="158" applyFont="1" applyFill="1" applyBorder="1" applyAlignment="1">
      <alignment horizontal="center" vertical="center" wrapText="1"/>
    </xf>
    <xf numFmtId="0" fontId="34" fillId="38" borderId="25" xfId="0" applyFont="1" applyFill="1" applyBorder="1" applyAlignment="1">
      <alignment horizontal="center" vertical="center" wrapText="1"/>
    </xf>
    <xf numFmtId="17" fontId="60" fillId="38" borderId="25" xfId="0" applyNumberFormat="1" applyFont="1" applyFill="1" applyBorder="1" applyAlignment="1">
      <alignment horizontal="center" vertical="center" wrapText="1"/>
    </xf>
    <xf numFmtId="0" fontId="60" fillId="38" borderId="25"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31" xfId="0" applyFont="1" applyFill="1" applyBorder="1" applyAlignment="1">
      <alignment horizontal="center" vertical="center" wrapText="1"/>
    </xf>
    <xf numFmtId="0" fontId="34" fillId="38" borderId="26" xfId="0" applyFont="1" applyFill="1" applyBorder="1" applyAlignment="1">
      <alignment horizontal="center" vertical="center" wrapText="1"/>
    </xf>
    <xf numFmtId="0" fontId="34" fillId="9" borderId="28" xfId="0" applyFont="1" applyFill="1" applyBorder="1" applyAlignment="1">
      <alignment horizontal="center" vertical="center" wrapText="1"/>
    </xf>
    <xf numFmtId="0" fontId="34" fillId="9" borderId="14" xfId="0" applyFont="1" applyFill="1" applyBorder="1" applyAlignment="1">
      <alignment horizontal="center" vertical="center" wrapText="1"/>
    </xf>
    <xf numFmtId="0" fontId="34" fillId="47" borderId="23" xfId="0" applyFont="1" applyFill="1" applyBorder="1" applyAlignment="1">
      <alignment horizontal="center" vertical="center"/>
    </xf>
    <xf numFmtId="0" fontId="34" fillId="47" borderId="24" xfId="0" applyFont="1" applyFill="1" applyBorder="1" applyAlignment="1">
      <alignment horizontal="center" vertical="center"/>
    </xf>
    <xf numFmtId="0" fontId="36" fillId="11" borderId="25" xfId="0" applyFont="1" applyFill="1" applyBorder="1" applyAlignment="1">
      <alignment horizontal="center" vertical="center" wrapText="1"/>
    </xf>
    <xf numFmtId="0" fontId="0" fillId="38" borderId="25" xfId="0" applyFill="1" applyBorder="1" applyAlignment="1">
      <alignment horizontal="center" vertical="center" wrapText="1"/>
    </xf>
    <xf numFmtId="0" fontId="34" fillId="9" borderId="25" xfId="0" applyFont="1" applyFill="1" applyBorder="1" applyAlignment="1">
      <alignment horizontal="center" vertical="center" wrapText="1"/>
    </xf>
    <xf numFmtId="0" fontId="34" fillId="4" borderId="25" xfId="0" applyFont="1" applyFill="1" applyBorder="1" applyAlignment="1">
      <alignment horizontal="center" vertical="center" wrapText="1"/>
    </xf>
    <xf numFmtId="0" fontId="34" fillId="23" borderId="25" xfId="0" applyFont="1" applyFill="1" applyBorder="1" applyAlignment="1">
      <alignment horizontal="center" vertical="center" wrapText="1"/>
    </xf>
    <xf numFmtId="0" fontId="34" fillId="19" borderId="25" xfId="0" applyFont="1" applyFill="1" applyBorder="1" applyAlignment="1">
      <alignment horizontal="center" vertical="center" wrapText="1"/>
    </xf>
    <xf numFmtId="0" fontId="45" fillId="47" borderId="25" xfId="0" applyFont="1" applyFill="1" applyBorder="1" applyAlignment="1">
      <alignment horizontal="center" vertical="center" wrapText="1"/>
    </xf>
    <xf numFmtId="0" fontId="45" fillId="47" borderId="28" xfId="0" applyFont="1" applyFill="1" applyBorder="1" applyAlignment="1">
      <alignment horizontal="center" vertical="center" wrapText="1"/>
    </xf>
    <xf numFmtId="0" fontId="45" fillId="47" borderId="25" xfId="0" applyFont="1" applyFill="1" applyBorder="1" applyAlignment="1">
      <alignment horizontal="center" vertical="center"/>
    </xf>
    <xf numFmtId="0" fontId="45" fillId="47" borderId="28" xfId="0" applyFont="1" applyFill="1" applyBorder="1" applyAlignment="1">
      <alignment horizontal="center" vertical="center"/>
    </xf>
    <xf numFmtId="9" fontId="47" fillId="18" borderId="25" xfId="0" applyNumberFormat="1" applyFont="1" applyFill="1" applyBorder="1" applyAlignment="1">
      <alignment horizontal="center" vertical="center" wrapText="1"/>
    </xf>
    <xf numFmtId="9" fontId="47" fillId="18" borderId="28" xfId="0" applyNumberFormat="1" applyFont="1" applyFill="1" applyBorder="1" applyAlignment="1">
      <alignment horizontal="center" vertical="center" wrapText="1"/>
    </xf>
    <xf numFmtId="0" fontId="47" fillId="9" borderId="25" xfId="0" applyFont="1" applyFill="1" applyBorder="1" applyAlignment="1">
      <alignment horizontal="center" vertical="center" wrapText="1"/>
    </xf>
    <xf numFmtId="0" fontId="47" fillId="9" borderId="28" xfId="0" applyFont="1" applyFill="1" applyBorder="1" applyAlignment="1">
      <alignment horizontal="center" vertical="center" wrapText="1"/>
    </xf>
    <xf numFmtId="0" fontId="55" fillId="4" borderId="25" xfId="0" applyFont="1" applyFill="1" applyBorder="1" applyAlignment="1">
      <alignment horizontal="center" vertical="center" wrapText="1"/>
    </xf>
    <xf numFmtId="0" fontId="47" fillId="4" borderId="28" xfId="0" applyFont="1" applyFill="1" applyBorder="1" applyAlignment="1">
      <alignment horizontal="center" vertical="center" wrapText="1"/>
    </xf>
    <xf numFmtId="0" fontId="47" fillId="23" borderId="25" xfId="0" applyFont="1" applyFill="1" applyBorder="1" applyAlignment="1">
      <alignment horizontal="center" vertical="center" wrapText="1"/>
    </xf>
    <xf numFmtId="0" fontId="47" fillId="23" borderId="28" xfId="0" applyFont="1" applyFill="1" applyBorder="1" applyAlignment="1">
      <alignment horizontal="center" vertical="center" wrapText="1"/>
    </xf>
    <xf numFmtId="0" fontId="47" fillId="19" borderId="25" xfId="0" applyFont="1" applyFill="1" applyBorder="1" applyAlignment="1">
      <alignment horizontal="center" vertical="center" wrapText="1"/>
    </xf>
    <xf numFmtId="0" fontId="47" fillId="19" borderId="28" xfId="0" applyFont="1" applyFill="1" applyBorder="1" applyAlignment="1">
      <alignment horizontal="center" vertical="center" wrapText="1"/>
    </xf>
    <xf numFmtId="0" fontId="45" fillId="47" borderId="20" xfId="0" applyFont="1" applyFill="1" applyBorder="1" applyAlignment="1">
      <alignment horizontal="center" vertical="center" wrapText="1"/>
    </xf>
    <xf numFmtId="0" fontId="68" fillId="29" borderId="2" xfId="0" applyFont="1" applyFill="1" applyBorder="1" applyAlignment="1">
      <alignment horizontal="center" vertical="center" wrapText="1"/>
    </xf>
    <xf numFmtId="0" fontId="68" fillId="29" borderId="3" xfId="0" applyFont="1" applyFill="1" applyBorder="1" applyAlignment="1">
      <alignment horizontal="center" vertical="center" wrapText="1"/>
    </xf>
    <xf numFmtId="0" fontId="50" fillId="48" borderId="2" xfId="0" applyFont="1" applyFill="1" applyBorder="1" applyAlignment="1">
      <alignment horizontal="center" vertical="center" wrapText="1"/>
    </xf>
    <xf numFmtId="0" fontId="50" fillId="48" borderId="7" xfId="0" applyFont="1" applyFill="1" applyBorder="1" applyAlignment="1">
      <alignment horizontal="center" vertical="center" wrapText="1"/>
    </xf>
    <xf numFmtId="0" fontId="50" fillId="48" borderId="3" xfId="0" applyFont="1" applyFill="1" applyBorder="1" applyAlignment="1">
      <alignment horizontal="center" vertical="center" wrapText="1"/>
    </xf>
    <xf numFmtId="0" fontId="47" fillId="11" borderId="0" xfId="0" applyFont="1" applyFill="1" applyAlignment="1">
      <alignment horizontal="center" vertical="center" wrapText="1"/>
    </xf>
    <xf numFmtId="0" fontId="50" fillId="48" borderId="2" xfId="0" applyFont="1" applyFill="1" applyBorder="1" applyAlignment="1">
      <alignment horizontal="center" vertical="center"/>
    </xf>
    <xf numFmtId="0" fontId="50" fillId="48" borderId="7" xfId="0" applyFont="1" applyFill="1" applyBorder="1" applyAlignment="1">
      <alignment horizontal="center" vertical="center"/>
    </xf>
    <xf numFmtId="0" fontId="50" fillId="48" borderId="3" xfId="0" applyFont="1" applyFill="1" applyBorder="1" applyAlignment="1">
      <alignment horizontal="center" vertical="center"/>
    </xf>
    <xf numFmtId="0" fontId="36" fillId="0" borderId="1" xfId="4" applyFont="1" applyBorder="1" applyAlignment="1">
      <alignment horizontal="center"/>
    </xf>
    <xf numFmtId="0" fontId="36" fillId="18" borderId="22" xfId="4" applyFont="1" applyFill="1" applyBorder="1" applyAlignment="1">
      <alignment horizontal="justify" vertical="center" wrapText="1"/>
    </xf>
    <xf numFmtId="0" fontId="36" fillId="18" borderId="5" xfId="4" applyFont="1" applyFill="1" applyBorder="1" applyAlignment="1">
      <alignment horizontal="justify" vertical="center" wrapText="1"/>
    </xf>
    <xf numFmtId="0" fontId="36" fillId="18" borderId="6" xfId="4" applyFont="1" applyFill="1" applyBorder="1" applyAlignment="1">
      <alignment horizontal="justify" vertical="center" wrapText="1"/>
    </xf>
    <xf numFmtId="0" fontId="34" fillId="0" borderId="1" xfId="4" applyBorder="1" applyAlignment="1">
      <alignment horizontal="center" vertical="center"/>
    </xf>
    <xf numFmtId="0" fontId="34" fillId="0" borderId="22" xfId="4" applyBorder="1" applyAlignment="1">
      <alignment horizontal="center" vertical="center"/>
    </xf>
    <xf numFmtId="0" fontId="34" fillId="0" borderId="5" xfId="4" applyBorder="1" applyAlignment="1">
      <alignment horizontal="center" vertical="center"/>
    </xf>
    <xf numFmtId="0" fontId="34" fillId="0" borderId="6" xfId="4" applyBorder="1" applyAlignment="1">
      <alignment horizontal="center" vertical="center"/>
    </xf>
    <xf numFmtId="0" fontId="36" fillId="15" borderId="1" xfId="4" applyFont="1" applyFill="1" applyBorder="1" applyAlignment="1">
      <alignment horizontal="center"/>
    </xf>
  </cellXfs>
  <cellStyles count="193">
    <cellStyle name="Celda de comprobación" xfId="1" builtinId="23"/>
    <cellStyle name="Excel Built-in Check Cell" xfId="30" xr:uid="{00000000-0005-0000-0000-000001000000}"/>
    <cellStyle name="Hipervínculo" xfId="191" builtinId="8"/>
    <cellStyle name="Hipervínculo 2" xfId="7" xr:uid="{00000000-0005-0000-0000-000003000000}"/>
    <cellStyle name="Hipervínculo 3" xfId="20" xr:uid="{00000000-0005-0000-0000-000004000000}"/>
    <cellStyle name="Hipervínculo 4" xfId="43" xr:uid="{00000000-0005-0000-0000-000005000000}"/>
    <cellStyle name="Millares [0] 2" xfId="157" xr:uid="{00000000-0005-0000-0000-000006000000}"/>
    <cellStyle name="Millares [0] 3" xfId="171" xr:uid="{00000000-0005-0000-0000-000007000000}"/>
    <cellStyle name="Millares [0] 4" xfId="180" xr:uid="{00000000-0005-0000-0000-000008000000}"/>
    <cellStyle name="Millares 2" xfId="131" xr:uid="{00000000-0005-0000-0000-000009000000}"/>
    <cellStyle name="Normal" xfId="0" builtinId="0"/>
    <cellStyle name="Normal 10" xfId="4" xr:uid="{00000000-0005-0000-0000-00000B000000}"/>
    <cellStyle name="Normal 11" xfId="44" xr:uid="{00000000-0005-0000-0000-00000C000000}"/>
    <cellStyle name="Normal 11 2" xfId="55" xr:uid="{00000000-0005-0000-0000-00000D000000}"/>
    <cellStyle name="Normal 11 2 2" xfId="80" xr:uid="{00000000-0005-0000-0000-00000E000000}"/>
    <cellStyle name="Normal 12" xfId="39" xr:uid="{00000000-0005-0000-0000-00000F000000}"/>
    <cellStyle name="Normal 13" xfId="97" xr:uid="{00000000-0005-0000-0000-000010000000}"/>
    <cellStyle name="Normal 13 2" xfId="115" xr:uid="{00000000-0005-0000-0000-000011000000}"/>
    <cellStyle name="Normal 13 2 2" xfId="127" xr:uid="{00000000-0005-0000-0000-000012000000}"/>
    <cellStyle name="Normal 13 2 2 2" xfId="181" xr:uid="{00000000-0005-0000-0000-000013000000}"/>
    <cellStyle name="Normal 13 3" xfId="153" xr:uid="{00000000-0005-0000-0000-000014000000}"/>
    <cellStyle name="Normal 13 4" xfId="176" xr:uid="{00000000-0005-0000-0000-000015000000}"/>
    <cellStyle name="Normal 14" xfId="141" xr:uid="{00000000-0005-0000-0000-000016000000}"/>
    <cellStyle name="Normal 15" xfId="151" xr:uid="{00000000-0005-0000-0000-000017000000}"/>
    <cellStyle name="Normal 16" xfId="166" xr:uid="{00000000-0005-0000-0000-000018000000}"/>
    <cellStyle name="Normal 17" xfId="174" xr:uid="{00000000-0005-0000-0000-000019000000}"/>
    <cellStyle name="Normal 18" xfId="192" xr:uid="{2376C53B-E247-4813-8C5F-C66B1B5606CC}"/>
    <cellStyle name="Normal 2" xfId="2" xr:uid="{00000000-0005-0000-0000-00001A000000}"/>
    <cellStyle name="Normal 2 2" xfId="5" xr:uid="{00000000-0005-0000-0000-00001B000000}"/>
    <cellStyle name="Normal 2 3" xfId="16" xr:uid="{00000000-0005-0000-0000-00001C000000}"/>
    <cellStyle name="Normal 2 3 2" xfId="37" xr:uid="{00000000-0005-0000-0000-00001D000000}"/>
    <cellStyle name="Normal 2 3 2 2" xfId="41" xr:uid="{00000000-0005-0000-0000-00001E000000}"/>
    <cellStyle name="Normal 2 3 2 2 2" xfId="57" xr:uid="{00000000-0005-0000-0000-00001F000000}"/>
    <cellStyle name="Normal 2 3 2 2 2 2" xfId="82" xr:uid="{00000000-0005-0000-0000-000020000000}"/>
    <cellStyle name="Normal 2 3 2 2 3" xfId="71" xr:uid="{00000000-0005-0000-0000-000021000000}"/>
    <cellStyle name="Normal 2 3 2 2 3 2" xfId="110" xr:uid="{00000000-0005-0000-0000-000022000000}"/>
    <cellStyle name="Normal 2 3 2 2 3 2 2" xfId="133" xr:uid="{00000000-0005-0000-0000-000023000000}"/>
    <cellStyle name="Normal 2 3 2 2 3 3" xfId="113" xr:uid="{00000000-0005-0000-0000-000024000000}"/>
    <cellStyle name="Normal 2 3 2 2 3 3 2" xfId="136" xr:uid="{00000000-0005-0000-0000-000025000000}"/>
    <cellStyle name="Normal 2 3 2 3" xfId="89" xr:uid="{00000000-0005-0000-0000-000026000000}"/>
    <cellStyle name="Normal 2 3 3" xfId="50" xr:uid="{00000000-0005-0000-0000-000027000000}"/>
    <cellStyle name="Normal 2 3 3 2" xfId="87" xr:uid="{00000000-0005-0000-0000-000028000000}"/>
    <cellStyle name="Normal 2 3 3 3" xfId="149" xr:uid="{00000000-0005-0000-0000-000029000000}"/>
    <cellStyle name="Normal 2 3 4" xfId="68" xr:uid="{00000000-0005-0000-0000-00002A000000}"/>
    <cellStyle name="Normal 2 3 4 2" xfId="92" xr:uid="{00000000-0005-0000-0000-00002B000000}"/>
    <cellStyle name="Normal 2 3 4 2 2" xfId="161" xr:uid="{00000000-0005-0000-0000-00002C000000}"/>
    <cellStyle name="Normal 2 3 4 2 2 2" xfId="188" xr:uid="{00000000-0005-0000-0000-00002D000000}"/>
    <cellStyle name="Normal 2 3 4 3" xfId="139" xr:uid="{00000000-0005-0000-0000-00002E000000}"/>
    <cellStyle name="Normal 2 3 5" xfId="99" xr:uid="{00000000-0005-0000-0000-00002F000000}"/>
    <cellStyle name="Normal 2 3 5 2" xfId="117" xr:uid="{00000000-0005-0000-0000-000030000000}"/>
    <cellStyle name="Normal 2 3 5 2 2" xfId="129" xr:uid="{00000000-0005-0000-0000-000031000000}"/>
    <cellStyle name="Normal 2 3 6" xfId="106" xr:uid="{00000000-0005-0000-0000-000032000000}"/>
    <cellStyle name="Normal 2 3 6 2" xfId="124" xr:uid="{00000000-0005-0000-0000-000033000000}"/>
    <cellStyle name="Normal 2 3 6 2 2" xfId="172" xr:uid="{00000000-0005-0000-0000-000034000000}"/>
    <cellStyle name="Normal 2 3 7" xfId="155" xr:uid="{00000000-0005-0000-0000-000035000000}"/>
    <cellStyle name="Normal 2 3 8" xfId="169" xr:uid="{00000000-0005-0000-0000-000036000000}"/>
    <cellStyle name="Normal 2 3 9" xfId="178" xr:uid="{00000000-0005-0000-0000-000037000000}"/>
    <cellStyle name="Normal 2 4" xfId="22" xr:uid="{00000000-0005-0000-0000-000038000000}"/>
    <cellStyle name="Normal 2 4 2" xfId="28" xr:uid="{00000000-0005-0000-0000-000039000000}"/>
    <cellStyle name="Normal 2 4 2 2" xfId="52" xr:uid="{00000000-0005-0000-0000-00003A000000}"/>
    <cellStyle name="Normal 2 4 2 2 2" xfId="84" xr:uid="{00000000-0005-0000-0000-00003B000000}"/>
    <cellStyle name="Normal 2 4 2 2 2 2" xfId="152" xr:uid="{00000000-0005-0000-0000-00003C000000}"/>
    <cellStyle name="Normal 2 4 2 2 2 3" xfId="173" xr:uid="{00000000-0005-0000-0000-00003D000000}"/>
    <cellStyle name="Normal 2 4 2 2 2 4" xfId="175" xr:uid="{00000000-0005-0000-0000-00003E000000}"/>
    <cellStyle name="Normal 2 4 3" xfId="33" xr:uid="{00000000-0005-0000-0000-00003F000000}"/>
    <cellStyle name="Normal 2 4 4" xfId="40" xr:uid="{00000000-0005-0000-0000-000040000000}"/>
    <cellStyle name="Normal 2 4 4 2" xfId="56" xr:uid="{00000000-0005-0000-0000-000041000000}"/>
    <cellStyle name="Normal 2 4 4 2 2" xfId="81" xr:uid="{00000000-0005-0000-0000-000042000000}"/>
    <cellStyle name="Normal 2 4 4 2 3" xfId="98" xr:uid="{00000000-0005-0000-0000-000043000000}"/>
    <cellStyle name="Normal 2 4 4 2 3 2" xfId="116" xr:uid="{00000000-0005-0000-0000-000044000000}"/>
    <cellStyle name="Normal 2 4 4 2 3 2 2" xfId="128" xr:uid="{00000000-0005-0000-0000-000045000000}"/>
    <cellStyle name="Normal 2 4 4 2 4" xfId="154" xr:uid="{00000000-0005-0000-0000-000046000000}"/>
    <cellStyle name="Normal 2 4 4 2 5" xfId="168" xr:uid="{00000000-0005-0000-0000-000047000000}"/>
    <cellStyle name="Normal 2 4 4 2 6" xfId="177" xr:uid="{00000000-0005-0000-0000-000048000000}"/>
    <cellStyle name="Normal 2 4 4 3" xfId="70" xr:uid="{00000000-0005-0000-0000-000049000000}"/>
    <cellStyle name="Normal 2 4 4 3 2" xfId="109" xr:uid="{00000000-0005-0000-0000-00004A000000}"/>
    <cellStyle name="Normal 2 4 4 3 2 2" xfId="132" xr:uid="{00000000-0005-0000-0000-00004B000000}"/>
    <cellStyle name="Normal 2 4 4 3 3" xfId="112" xr:uid="{00000000-0005-0000-0000-00004C000000}"/>
    <cellStyle name="Normal 2 4 4 3 3 2" xfId="135" xr:uid="{00000000-0005-0000-0000-00004D000000}"/>
    <cellStyle name="Normal 2 4 4 4" xfId="78" xr:uid="{00000000-0005-0000-0000-00004E000000}"/>
    <cellStyle name="Normal 2 4 4 4 2" xfId="164" xr:uid="{00000000-0005-0000-0000-00004F000000}"/>
    <cellStyle name="Normal 2 4 4 4 2 2" xfId="186" xr:uid="{00000000-0005-0000-0000-000050000000}"/>
    <cellStyle name="Normal 2 4 5" xfId="61" xr:uid="{00000000-0005-0000-0000-000051000000}"/>
    <cellStyle name="Normal 2 4 5 2" xfId="147" xr:uid="{00000000-0005-0000-0000-000052000000}"/>
    <cellStyle name="Normal 2 4 6" xfId="75" xr:uid="{00000000-0005-0000-0000-000053000000}"/>
    <cellStyle name="Normal 2 4 6 2" xfId="160" xr:uid="{00000000-0005-0000-0000-000054000000}"/>
    <cellStyle name="Normal 2 4 6 2 2" xfId="189" xr:uid="{00000000-0005-0000-0000-000055000000}"/>
    <cellStyle name="Normal 2 5" xfId="46" xr:uid="{00000000-0005-0000-0000-000056000000}"/>
    <cellStyle name="Normal 2 5 2" xfId="102" xr:uid="{00000000-0005-0000-0000-000057000000}"/>
    <cellStyle name="Normal 2 5 2 2" xfId="120" xr:uid="{00000000-0005-0000-0000-000058000000}"/>
    <cellStyle name="Normal 2 6" xfId="65" xr:uid="{00000000-0005-0000-0000-000059000000}"/>
    <cellStyle name="Normal 2 6 2" xfId="95" xr:uid="{00000000-0005-0000-0000-00005A000000}"/>
    <cellStyle name="Normal 3" xfId="6" xr:uid="{00000000-0005-0000-0000-00005B000000}"/>
    <cellStyle name="Normal 4" xfId="12" xr:uid="{00000000-0005-0000-0000-00005C000000}"/>
    <cellStyle name="Normal 4 2" xfId="15" xr:uid="{00000000-0005-0000-0000-00005D000000}"/>
    <cellStyle name="Normal 4 2 2" xfId="32" xr:uid="{00000000-0005-0000-0000-00005E000000}"/>
    <cellStyle name="Normal 4 2 3" xfId="36" xr:uid="{00000000-0005-0000-0000-00005F000000}"/>
    <cellStyle name="Normal 4 2 3 2" xfId="88" xr:uid="{00000000-0005-0000-0000-000060000000}"/>
    <cellStyle name="Normal 4 2 4" xfId="49" xr:uid="{00000000-0005-0000-0000-000061000000}"/>
    <cellStyle name="Normal 4 2 5" xfId="60" xr:uid="{00000000-0005-0000-0000-000062000000}"/>
    <cellStyle name="Normal 4 2 5 2" xfId="146" xr:uid="{00000000-0005-0000-0000-000063000000}"/>
    <cellStyle name="Normal 4 2 6" xfId="67" xr:uid="{00000000-0005-0000-0000-000064000000}"/>
    <cellStyle name="Normal 4 2 6 2" xfId="91" xr:uid="{00000000-0005-0000-0000-000065000000}"/>
    <cellStyle name="Normal 4 2 6 3" xfId="138" xr:uid="{00000000-0005-0000-0000-000066000000}"/>
    <cellStyle name="Normal 4 2 7" xfId="74" xr:uid="{00000000-0005-0000-0000-000067000000}"/>
    <cellStyle name="Normal 4 2 7 2" xfId="159" xr:uid="{00000000-0005-0000-0000-000068000000}"/>
    <cellStyle name="Normal 4 2 7 2 2" xfId="184" xr:uid="{00000000-0005-0000-0000-000069000000}"/>
    <cellStyle name="Normal 4 2 8" xfId="105" xr:uid="{00000000-0005-0000-0000-00006A000000}"/>
    <cellStyle name="Normal 4 2 8 2" xfId="123" xr:uid="{00000000-0005-0000-0000-00006B000000}"/>
    <cellStyle name="Normal 4 3" xfId="21" xr:uid="{00000000-0005-0000-0000-00006C000000}"/>
    <cellStyle name="Normal 4 4" xfId="64" xr:uid="{00000000-0005-0000-0000-00006D000000}"/>
    <cellStyle name="Normal 4 4 2" xfId="94" xr:uid="{00000000-0005-0000-0000-00006E000000}"/>
    <cellStyle name="Normal 5" xfId="13" xr:uid="{00000000-0005-0000-0000-00006F000000}"/>
    <cellStyle name="Normal 5 2" xfId="24" xr:uid="{00000000-0005-0000-0000-000070000000}"/>
    <cellStyle name="Normal 5 2 2" xfId="29" xr:uid="{00000000-0005-0000-0000-000071000000}"/>
    <cellStyle name="Normal 5 2 2 2" xfId="53" xr:uid="{00000000-0005-0000-0000-000072000000}"/>
    <cellStyle name="Normal 5 2 2 2 2" xfId="85" xr:uid="{00000000-0005-0000-0000-000073000000}"/>
    <cellStyle name="Normal 5 2 3" xfId="31" xr:uid="{00000000-0005-0000-0000-000074000000}"/>
    <cellStyle name="Normal 5 2 4" xfId="59" xr:uid="{00000000-0005-0000-0000-000075000000}"/>
    <cellStyle name="Normal 5 2 4 2" xfId="145" xr:uid="{00000000-0005-0000-0000-000076000000}"/>
    <cellStyle name="Normal 5 2 5" xfId="73" xr:uid="{00000000-0005-0000-0000-000077000000}"/>
    <cellStyle name="Normal 5 2 5 2" xfId="158" xr:uid="{00000000-0005-0000-0000-000078000000}"/>
    <cellStyle name="Normal 5 2 5 2 2" xfId="183" xr:uid="{00000000-0005-0000-0000-000079000000}"/>
    <cellStyle name="Normal 5 3" xfId="45" xr:uid="{00000000-0005-0000-0000-00007A000000}"/>
    <cellStyle name="Normal 5 3 2" xfId="101" xr:uid="{00000000-0005-0000-0000-00007B000000}"/>
    <cellStyle name="Normal 5 3 2 2" xfId="119" xr:uid="{00000000-0005-0000-0000-00007C000000}"/>
    <cellStyle name="Normal 5 3 2 2 2" xfId="167" xr:uid="{00000000-0005-0000-0000-00007D000000}"/>
    <cellStyle name="Normal 5 3 2 2 3" xfId="182" xr:uid="{00000000-0005-0000-0000-00007E000000}"/>
    <cellStyle name="Normal 6" xfId="9" xr:uid="{00000000-0005-0000-0000-00007F000000}"/>
    <cellStyle name="Normal 6 2" xfId="14" xr:uid="{00000000-0005-0000-0000-000080000000}"/>
    <cellStyle name="Normal 6 2 2" xfId="25" xr:uid="{00000000-0005-0000-0000-000081000000}"/>
    <cellStyle name="Normal 6 2 2 2" xfId="35" xr:uid="{00000000-0005-0000-0000-000082000000}"/>
    <cellStyle name="Normal 6 2 2 3" xfId="63" xr:uid="{00000000-0005-0000-0000-000083000000}"/>
    <cellStyle name="Normal 6 2 2 3 2" xfId="150" xr:uid="{00000000-0005-0000-0000-000084000000}"/>
    <cellStyle name="Normal 6 2 2 4" xfId="77" xr:uid="{00000000-0005-0000-0000-000085000000}"/>
    <cellStyle name="Normal 6 2 2 4 2" xfId="163" xr:uid="{00000000-0005-0000-0000-000086000000}"/>
    <cellStyle name="Normal 6 2 2 4 2 2" xfId="185" xr:uid="{00000000-0005-0000-0000-000087000000}"/>
    <cellStyle name="Normal 6 2 3" xfId="48" xr:uid="{00000000-0005-0000-0000-000088000000}"/>
    <cellStyle name="Normal 6 2 3 2" xfId="104" xr:uid="{00000000-0005-0000-0000-000089000000}"/>
    <cellStyle name="Normal 6 2 3 2 2" xfId="122" xr:uid="{00000000-0005-0000-0000-00008A000000}"/>
    <cellStyle name="Normal 6 3" xfId="142" xr:uid="{00000000-0005-0000-0000-00008B000000}"/>
    <cellStyle name="Normal 7" xfId="18" xr:uid="{00000000-0005-0000-0000-00008C000000}"/>
    <cellStyle name="Normal 7 2" xfId="144" xr:uid="{00000000-0005-0000-0000-00008D000000}"/>
    <cellStyle name="Normal 8" xfId="19" xr:uid="{00000000-0005-0000-0000-00008E000000}"/>
    <cellStyle name="Normal 9" xfId="11" xr:uid="{00000000-0005-0000-0000-00008F000000}"/>
    <cellStyle name="Normal 9 2" xfId="26" xr:uid="{00000000-0005-0000-0000-000090000000}"/>
    <cellStyle name="Porcentaje 2" xfId="3" xr:uid="{00000000-0005-0000-0000-000092000000}"/>
    <cellStyle name="Porcentaje 2 2" xfId="17" xr:uid="{00000000-0005-0000-0000-000093000000}"/>
    <cellStyle name="Porcentaje 2 2 10" xfId="179" xr:uid="{00000000-0005-0000-0000-000094000000}"/>
    <cellStyle name="Porcentaje 2 2 2" xfId="38" xr:uid="{00000000-0005-0000-0000-000095000000}"/>
    <cellStyle name="Porcentaje 2 2 2 2" xfId="42" xr:uid="{00000000-0005-0000-0000-000096000000}"/>
    <cellStyle name="Porcentaje 2 2 2 2 2" xfId="58" xr:uid="{00000000-0005-0000-0000-000097000000}"/>
    <cellStyle name="Porcentaje 2 2 2 2 2 2" xfId="83" xr:uid="{00000000-0005-0000-0000-000098000000}"/>
    <cellStyle name="Porcentaje 2 2 2 2 3" xfId="72" xr:uid="{00000000-0005-0000-0000-000099000000}"/>
    <cellStyle name="Porcentaje 2 2 2 2 3 2" xfId="111" xr:uid="{00000000-0005-0000-0000-00009A000000}"/>
    <cellStyle name="Porcentaje 2 2 2 2 3 2 2" xfId="134" xr:uid="{00000000-0005-0000-0000-00009B000000}"/>
    <cellStyle name="Porcentaje 2 2 2 2 3 3" xfId="114" xr:uid="{00000000-0005-0000-0000-00009C000000}"/>
    <cellStyle name="Porcentaje 2 2 2 2 3 3 2" xfId="137" xr:uid="{00000000-0005-0000-0000-00009D000000}"/>
    <cellStyle name="Porcentaje 2 2 2 3" xfId="90" xr:uid="{00000000-0005-0000-0000-00009E000000}"/>
    <cellStyle name="Porcentaje 2 2 3" xfId="51" xr:uid="{00000000-0005-0000-0000-00009F000000}"/>
    <cellStyle name="Porcentaje 2 2 3 2" xfId="108" xr:uid="{00000000-0005-0000-0000-0000A0000000}"/>
    <cellStyle name="Porcentaje 2 2 3 2 2" xfId="126" xr:uid="{00000000-0005-0000-0000-0000A1000000}"/>
    <cellStyle name="Porcentaje 2 2 4" xfId="69" xr:uid="{00000000-0005-0000-0000-0000A2000000}"/>
    <cellStyle name="Porcentaje 2 2 4 2" xfId="93" xr:uid="{00000000-0005-0000-0000-0000A3000000}"/>
    <cellStyle name="Porcentaje 2 2 4 3" xfId="140" xr:uid="{00000000-0005-0000-0000-0000A4000000}"/>
    <cellStyle name="Porcentaje 2 2 5" xfId="76" xr:uid="{00000000-0005-0000-0000-0000A5000000}"/>
    <cellStyle name="Porcentaje 2 2 5 2" xfId="162" xr:uid="{00000000-0005-0000-0000-0000A6000000}"/>
    <cellStyle name="Porcentaje 2 2 5 2 2" xfId="187" xr:uid="{00000000-0005-0000-0000-0000A7000000}"/>
    <cellStyle name="Porcentaje 2 2 6" xfId="100" xr:uid="{00000000-0005-0000-0000-0000A8000000}"/>
    <cellStyle name="Porcentaje 2 2 6 2" xfId="118" xr:uid="{00000000-0005-0000-0000-0000A9000000}"/>
    <cellStyle name="Porcentaje 2 2 6 2 2" xfId="130" xr:uid="{00000000-0005-0000-0000-0000AA000000}"/>
    <cellStyle name="Porcentaje 2 2 7" xfId="107" xr:uid="{00000000-0005-0000-0000-0000AB000000}"/>
    <cellStyle name="Porcentaje 2 2 7 2" xfId="125" xr:uid="{00000000-0005-0000-0000-0000AC000000}"/>
    <cellStyle name="Porcentaje 2 2 8" xfId="156" xr:uid="{00000000-0005-0000-0000-0000AD000000}"/>
    <cellStyle name="Porcentaje 2 2 9" xfId="170" xr:uid="{00000000-0005-0000-0000-0000AE000000}"/>
    <cellStyle name="Porcentaje 2 3" xfId="23" xr:uid="{00000000-0005-0000-0000-0000AF000000}"/>
    <cellStyle name="Porcentaje 2 3 2" xfId="34" xr:uid="{00000000-0005-0000-0000-0000B0000000}"/>
    <cellStyle name="Porcentaje 2 3 3" xfId="54" xr:uid="{00000000-0005-0000-0000-0000B1000000}"/>
    <cellStyle name="Porcentaje 2 3 3 2" xfId="86" xr:uid="{00000000-0005-0000-0000-0000B2000000}"/>
    <cellStyle name="Porcentaje 2 3 4" xfId="62" xr:uid="{00000000-0005-0000-0000-0000B3000000}"/>
    <cellStyle name="Porcentaje 2 3 4 2" xfId="148" xr:uid="{00000000-0005-0000-0000-0000B4000000}"/>
    <cellStyle name="Porcentaje 2 3 5" xfId="79" xr:uid="{00000000-0005-0000-0000-0000B5000000}"/>
    <cellStyle name="Porcentaje 2 3 5 2" xfId="165" xr:uid="{00000000-0005-0000-0000-0000B6000000}"/>
    <cellStyle name="Porcentaje 2 3 5 2 2" xfId="190" xr:uid="{00000000-0005-0000-0000-0000B7000000}"/>
    <cellStyle name="Porcentaje 2 4" xfId="47" xr:uid="{00000000-0005-0000-0000-0000B8000000}"/>
    <cellStyle name="Porcentaje 2 4 2" xfId="103" xr:uid="{00000000-0005-0000-0000-0000B9000000}"/>
    <cellStyle name="Porcentaje 2 4 2 2" xfId="121" xr:uid="{00000000-0005-0000-0000-0000BA000000}"/>
    <cellStyle name="Porcentaje 2 5" xfId="66" xr:uid="{00000000-0005-0000-0000-0000BB000000}"/>
    <cellStyle name="Porcentaje 2 5 2" xfId="96" xr:uid="{00000000-0005-0000-0000-0000BC000000}"/>
    <cellStyle name="Porcentaje 3" xfId="8" xr:uid="{00000000-0005-0000-0000-0000BD000000}"/>
    <cellStyle name="Porcentaje 5" xfId="10" xr:uid="{00000000-0005-0000-0000-0000BE000000}"/>
    <cellStyle name="Porcentaje 5 2" xfId="27" xr:uid="{00000000-0005-0000-0000-0000BF000000}"/>
    <cellStyle name="Porcentaje 5 3" xfId="143" xr:uid="{00000000-0005-0000-0000-0000C0000000}"/>
  </cellStyles>
  <dxfs count="537">
    <dxf>
      <font>
        <strike val="0"/>
        <outline val="0"/>
        <shadow val="0"/>
        <vertAlign val="baseline"/>
        <sz val="11"/>
        <name val="Arial"/>
        <family val="2"/>
        <scheme val="none"/>
      </font>
      <fill>
        <patternFill>
          <fgColor indexed="64"/>
          <bgColor theme="0"/>
        </patternFill>
      </fill>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numFmt numFmtId="13" formatCode="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numFmt numFmtId="13" formatCode="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strike val="0"/>
        <outline val="0"/>
        <shadow val="0"/>
        <u val="none"/>
        <vertAlign val="baseline"/>
        <sz val="11"/>
        <color theme="1"/>
        <name val="Arial"/>
        <family val="2"/>
        <scheme val="none"/>
      </font>
      <numFmt numFmtId="169" formatCode="d/mm/yyyy"/>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1" hidden="0"/>
    </dxf>
    <dxf>
      <font>
        <strike val="0"/>
        <outline val="0"/>
        <shadow val="0"/>
        <vertAlign val="baseline"/>
        <sz val="11"/>
        <name val="Arial"/>
        <family val="2"/>
        <scheme val="none"/>
      </font>
      <alignment horizontal="center" vertical="center" textRotation="0"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dxf>
    <dxf>
      <border>
        <top style="medium">
          <color indexed="64"/>
        </top>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0000"/>
        </patternFill>
      </fill>
    </dxf>
  </dxfs>
  <tableStyles count="0" defaultTableStyle="TableStyleMedium2" defaultPivotStyle="PivotStyleLight16"/>
  <colors>
    <mruColors>
      <color rgb="FF00FF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92D05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56B-4D92-9337-F4FE5634F5E6}"/>
              </c:ext>
            </c:extLst>
          </c:dPt>
          <c:dPt>
            <c:idx val="1"/>
            <c:bubble3D val="0"/>
            <c:spPr>
              <a:solidFill>
                <a:srgbClr val="FFFF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A-556B-4D92-9337-F4FE5634F5E6}"/>
              </c:ext>
            </c:extLst>
          </c:dPt>
          <c:dPt>
            <c:idx val="2"/>
            <c:bubble3D val="0"/>
            <c:spPr>
              <a:solidFill>
                <a:srgbClr val="FFC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0-556B-4D92-9337-F4FE5634F5E6}"/>
              </c:ext>
            </c:extLst>
          </c:dPt>
          <c:dPt>
            <c:idx val="3"/>
            <c:bubble3D val="0"/>
            <c:spPr>
              <a:solidFill>
                <a:srgbClr val="FF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56B-4D92-9337-F4FE5634F5E6}"/>
              </c:ext>
            </c:extLst>
          </c:dPt>
          <c:dLbls>
            <c:dLbl>
              <c:idx val="0"/>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56B-4D92-9337-F4FE5634F5E6}"/>
                </c:ext>
              </c:extLst>
            </c:dLbl>
            <c:dLbl>
              <c:idx val="1"/>
              <c:layout>
                <c:manualLayout>
                  <c:x val="7.0236677931598421E-2"/>
                  <c:y val="-0.33353365755751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556B-4D92-9337-F4FE5634F5E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0"/>
            <c:showCatName val="1"/>
            <c:showSerName val="0"/>
            <c:showPercent val="1"/>
            <c:showBubbleSize val="0"/>
            <c:showLeaderLines val="0"/>
            <c:extLst>
              <c:ext xmlns:c15="http://schemas.microsoft.com/office/drawing/2012/chart" uri="{CE6537A1-D6FC-4f65-9D91-7224C49458BB}"/>
            </c:extLst>
          </c:dLbls>
          <c:cat>
            <c:strRef>
              <c:f>'DETALLE INTERNOS'!$S$15:$S$18</c:f>
              <c:strCache>
                <c:ptCount val="4"/>
                <c:pt idx="0">
                  <c:v>Sobresaliente</c:v>
                </c:pt>
                <c:pt idx="1">
                  <c:v>Aceptable</c:v>
                </c:pt>
                <c:pt idx="2">
                  <c:v>Inaceptable </c:v>
                </c:pt>
                <c:pt idx="3">
                  <c:v>CrÍtico </c:v>
                </c:pt>
              </c:strCache>
            </c:strRef>
          </c:cat>
          <c:val>
            <c:numRef>
              <c:f>'DETALLE INTERNOS'!$U$15:$U$18</c:f>
              <c:numCache>
                <c:formatCode>General</c:formatCode>
                <c:ptCount val="4"/>
                <c:pt idx="0">
                  <c:v>11</c:v>
                </c:pt>
                <c:pt idx="1">
                  <c:v>4</c:v>
                </c:pt>
                <c:pt idx="2">
                  <c:v>3</c:v>
                </c:pt>
                <c:pt idx="3">
                  <c:v>1</c:v>
                </c:pt>
              </c:numCache>
            </c:numRef>
          </c:val>
          <c:extLst>
            <c:ext xmlns:c16="http://schemas.microsoft.com/office/drawing/2014/chart" uri="{C3380CC4-5D6E-409C-BE32-E72D297353CC}">
              <c16:uniqueId val="{00000000-556B-4D92-9337-F4FE5634F5E6}"/>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44386692809011E-2"/>
          <c:y val="2.4608496783720554E-2"/>
          <c:w val="0.92183824250576774"/>
          <c:h val="0.61204731243331523"/>
        </c:manualLayout>
      </c:layout>
      <c:barChart>
        <c:barDir val="col"/>
        <c:grouping val="clustered"/>
        <c:varyColors val="0"/>
        <c:ser>
          <c:idx val="0"/>
          <c:order val="0"/>
          <c:tx>
            <c:strRef>
              <c:f>'DETALLE INTERNOS'!$C$32</c:f>
              <c:strCache>
                <c:ptCount val="1"/>
                <c:pt idx="0">
                  <c:v>Avance diciembre 2023</c:v>
                </c:pt>
              </c:strCache>
            </c:strRef>
          </c:tx>
          <c:spPr>
            <a:solidFill>
              <a:schemeClr val="accent1"/>
            </a:solidFill>
            <a:ln>
              <a:solidFill>
                <a:schemeClr val="accent5">
                  <a:lumMod val="75000"/>
                </a:schemeClr>
              </a:solid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'DETALLE INTERNOS'!$B$33:$B$51</c:f>
              <c:strCache>
                <c:ptCount val="19"/>
                <c:pt idx="0">
                  <c:v>Comisión de Estudios</c:v>
                </c:pt>
                <c:pt idx="1">
                  <c:v>Control Interno Contable</c:v>
                </c:pt>
                <c:pt idx="2">
                  <c:v>Posgrados</c:v>
                </c:pt>
                <c:pt idx="3">
                  <c:v>Gestión Ambiental</c:v>
                </c:pt>
                <c:pt idx="4">
                  <c:v>Bienestar Universitario</c:v>
                </c:pt>
                <c:pt idx="5">
                  <c:v>Comisiones Académicas</c:v>
                </c:pt>
                <c:pt idx="6">
                  <c:v>Evaluación Docente</c:v>
                </c:pt>
                <c:pt idx="7">
                  <c:v>Transporte </c:v>
                </c:pt>
                <c:pt idx="8">
                  <c:v>Archivo Histórico</c:v>
                </c:pt>
                <c:pt idx="9">
                  <c:v>Talento Humano</c:v>
                </c:pt>
                <c:pt idx="10">
                  <c:v>Estímulos económicos</c:v>
                </c:pt>
                <c:pt idx="11">
                  <c:v>Estampilla</c:v>
                </c:pt>
                <c:pt idx="12">
                  <c:v>Talento Humano UNISALUD</c:v>
                </c:pt>
                <c:pt idx="13">
                  <c:v>Legalización Avances</c:v>
                </c:pt>
                <c:pt idx="14">
                  <c:v>Mantenimiento</c:v>
                </c:pt>
                <c:pt idx="15">
                  <c:v>Reguistro de Notas</c:v>
                </c:pt>
                <c:pt idx="16">
                  <c:v>SGSST</c:v>
                </c:pt>
                <c:pt idx="17">
                  <c:v>Reliquidacion Matricula </c:v>
                </c:pt>
                <c:pt idx="18">
                  <c:v>Matrícula Financiera</c:v>
                </c:pt>
              </c:strCache>
            </c:strRef>
          </c:cat>
          <c:val>
            <c:numRef>
              <c:f>'DETALLE INTERNOS'!$C$33:$C$51</c:f>
              <c:numCache>
                <c:formatCode>0%</c:formatCode>
                <c:ptCount val="19"/>
                <c:pt idx="0">
                  <c:v>0.80909090909090908</c:v>
                </c:pt>
                <c:pt idx="1">
                  <c:v>0.89230769230769247</c:v>
                </c:pt>
                <c:pt idx="2">
                  <c:v>0.71052631578947367</c:v>
                </c:pt>
                <c:pt idx="3">
                  <c:v>0.95227272727272727</c:v>
                </c:pt>
                <c:pt idx="4">
                  <c:v>0.78266666666666651</c:v>
                </c:pt>
                <c:pt idx="5">
                  <c:v>0.86428571428571443</c:v>
                </c:pt>
                <c:pt idx="6">
                  <c:v>2.8571428571428574E-2</c:v>
                </c:pt>
                <c:pt idx="7">
                  <c:v>0.94166666666666654</c:v>
                </c:pt>
                <c:pt idx="8">
                  <c:v>1</c:v>
                </c:pt>
                <c:pt idx="9">
                  <c:v>0.84912280701754383</c:v>
                </c:pt>
                <c:pt idx="10">
                  <c:v>0.6</c:v>
                </c:pt>
                <c:pt idx="11">
                  <c:v>0.98333333333333339</c:v>
                </c:pt>
                <c:pt idx="12">
                  <c:v>0.65217391304347838</c:v>
                </c:pt>
                <c:pt idx="13">
                  <c:v>0.82500000000000007</c:v>
                </c:pt>
                <c:pt idx="14">
                  <c:v>0.95624999999999993</c:v>
                </c:pt>
                <c:pt idx="15">
                  <c:v>0.48095238095238091</c:v>
                </c:pt>
                <c:pt idx="16">
                  <c:v>0.44285714285714289</c:v>
                </c:pt>
                <c:pt idx="17">
                  <c:v>0.33430555555555558</c:v>
                </c:pt>
                <c:pt idx="18">
                  <c:v>0.85</c:v>
                </c:pt>
              </c:numCache>
            </c:numRef>
          </c:val>
          <c:extLst>
            <c:ext xmlns:c16="http://schemas.microsoft.com/office/drawing/2014/chart" uri="{C3380CC4-5D6E-409C-BE32-E72D297353CC}">
              <c16:uniqueId val="{00000000-4F3F-4CCD-B0F5-E6C8A108762F}"/>
            </c:ext>
          </c:extLst>
        </c:ser>
        <c:dLbls>
          <c:showLegendKey val="0"/>
          <c:showVal val="0"/>
          <c:showCatName val="0"/>
          <c:showSerName val="0"/>
          <c:showPercent val="0"/>
          <c:showBubbleSize val="0"/>
        </c:dLbls>
        <c:gapWidth val="150"/>
        <c:axId val="275719296"/>
        <c:axId val="275720832"/>
      </c:barChart>
      <c:lineChart>
        <c:grouping val="standard"/>
        <c:varyColors val="0"/>
        <c:ser>
          <c:idx val="1"/>
          <c:order val="1"/>
          <c:tx>
            <c:strRef>
              <c:f>'DETALLE INTERNOS'!$E$32</c:f>
              <c:strCache>
                <c:ptCount val="1"/>
                <c:pt idx="0">
                  <c:v>Nivel crítico</c:v>
                </c:pt>
              </c:strCache>
            </c:strRef>
          </c:tx>
          <c:spPr>
            <a:ln w="28575" cap="rnd">
              <a:solidFill>
                <a:srgbClr val="FF0000"/>
              </a:solidFill>
              <a:round/>
            </a:ln>
            <a:effectLst/>
          </c:spPr>
          <c:marker>
            <c:symbol val="none"/>
          </c:marker>
          <c:cat>
            <c:strRef>
              <c:f>'DETALLE INTERNOS'!$B$33:$B$51</c:f>
              <c:strCache>
                <c:ptCount val="19"/>
                <c:pt idx="0">
                  <c:v>Comisión de Estudios</c:v>
                </c:pt>
                <c:pt idx="1">
                  <c:v>Control Interno Contable</c:v>
                </c:pt>
                <c:pt idx="2">
                  <c:v>Posgrados</c:v>
                </c:pt>
                <c:pt idx="3">
                  <c:v>Gestión Ambiental</c:v>
                </c:pt>
                <c:pt idx="4">
                  <c:v>Bienestar Universitario</c:v>
                </c:pt>
                <c:pt idx="5">
                  <c:v>Comisiones Académicas</c:v>
                </c:pt>
                <c:pt idx="6">
                  <c:v>Evaluación Docente</c:v>
                </c:pt>
                <c:pt idx="7">
                  <c:v>Transporte </c:v>
                </c:pt>
                <c:pt idx="8">
                  <c:v>Archivo Histórico</c:v>
                </c:pt>
                <c:pt idx="9">
                  <c:v>Talento Humano</c:v>
                </c:pt>
                <c:pt idx="10">
                  <c:v>Estímulos económicos</c:v>
                </c:pt>
                <c:pt idx="11">
                  <c:v>Estampilla</c:v>
                </c:pt>
                <c:pt idx="12">
                  <c:v>Talento Humano UNISALUD</c:v>
                </c:pt>
                <c:pt idx="13">
                  <c:v>Legalización Avances</c:v>
                </c:pt>
                <c:pt idx="14">
                  <c:v>Mantenimiento</c:v>
                </c:pt>
                <c:pt idx="15">
                  <c:v>Reguistro de Notas</c:v>
                </c:pt>
                <c:pt idx="16">
                  <c:v>SGSST</c:v>
                </c:pt>
                <c:pt idx="17">
                  <c:v>Reliquidacion Matricula </c:v>
                </c:pt>
                <c:pt idx="18">
                  <c:v>Matrícula Financiera</c:v>
                </c:pt>
              </c:strCache>
            </c:strRef>
          </c:cat>
          <c:val>
            <c:numRef>
              <c:f>'DETALLE INTERNOS'!$E$33:$E$51</c:f>
              <c:numCache>
                <c:formatCode>0%</c:formatCode>
                <c:ptCount val="19"/>
                <c:pt idx="0">
                  <c:v>0.3</c:v>
                </c:pt>
                <c:pt idx="1">
                  <c:v>0.3</c:v>
                </c:pt>
                <c:pt idx="2">
                  <c:v>0.3</c:v>
                </c:pt>
                <c:pt idx="3">
                  <c:v>0.3</c:v>
                </c:pt>
                <c:pt idx="4">
                  <c:v>0.3</c:v>
                </c:pt>
                <c:pt idx="5">
                  <c:v>0.3</c:v>
                </c:pt>
                <c:pt idx="6">
                  <c:v>0.3</c:v>
                </c:pt>
                <c:pt idx="7">
                  <c:v>0.3</c:v>
                </c:pt>
                <c:pt idx="8">
                  <c:v>0.3</c:v>
                </c:pt>
                <c:pt idx="9">
                  <c:v>0.3</c:v>
                </c:pt>
                <c:pt idx="10">
                  <c:v>0.3</c:v>
                </c:pt>
                <c:pt idx="11">
                  <c:v>0.3</c:v>
                </c:pt>
                <c:pt idx="12">
                  <c:v>0.3</c:v>
                </c:pt>
                <c:pt idx="13">
                  <c:v>0.3</c:v>
                </c:pt>
                <c:pt idx="14">
                  <c:v>0.3</c:v>
                </c:pt>
                <c:pt idx="15">
                  <c:v>0.3</c:v>
                </c:pt>
                <c:pt idx="16">
                  <c:v>0.3</c:v>
                </c:pt>
                <c:pt idx="17">
                  <c:v>0.3</c:v>
                </c:pt>
                <c:pt idx="18">
                  <c:v>0.3</c:v>
                </c:pt>
              </c:numCache>
            </c:numRef>
          </c:val>
          <c:smooth val="0"/>
          <c:extLst>
            <c:ext xmlns:c16="http://schemas.microsoft.com/office/drawing/2014/chart" uri="{C3380CC4-5D6E-409C-BE32-E72D297353CC}">
              <c16:uniqueId val="{00000001-4F3F-4CCD-B0F5-E6C8A108762F}"/>
            </c:ext>
          </c:extLst>
        </c:ser>
        <c:ser>
          <c:idx val="2"/>
          <c:order val="2"/>
          <c:tx>
            <c:strRef>
              <c:f>'DETALLE INTERNOS'!$F$32</c:f>
              <c:strCache>
                <c:ptCount val="1"/>
                <c:pt idx="0">
                  <c:v>Nivel aceptable</c:v>
                </c:pt>
              </c:strCache>
            </c:strRef>
          </c:tx>
          <c:spPr>
            <a:ln w="28575" cap="rnd">
              <a:solidFill>
                <a:srgbClr val="FFFF00"/>
              </a:solidFill>
              <a:round/>
            </a:ln>
            <a:effectLst/>
          </c:spPr>
          <c:marker>
            <c:symbol val="none"/>
          </c:marker>
          <c:cat>
            <c:strRef>
              <c:f>'DETALLE INTERNOS'!$B$33:$B$51</c:f>
              <c:strCache>
                <c:ptCount val="19"/>
                <c:pt idx="0">
                  <c:v>Comisión de Estudios</c:v>
                </c:pt>
                <c:pt idx="1">
                  <c:v>Control Interno Contable</c:v>
                </c:pt>
                <c:pt idx="2">
                  <c:v>Posgrados</c:v>
                </c:pt>
                <c:pt idx="3">
                  <c:v>Gestión Ambiental</c:v>
                </c:pt>
                <c:pt idx="4">
                  <c:v>Bienestar Universitario</c:v>
                </c:pt>
                <c:pt idx="5">
                  <c:v>Comisiones Académicas</c:v>
                </c:pt>
                <c:pt idx="6">
                  <c:v>Evaluación Docente</c:v>
                </c:pt>
                <c:pt idx="7">
                  <c:v>Transporte </c:v>
                </c:pt>
                <c:pt idx="8">
                  <c:v>Archivo Histórico</c:v>
                </c:pt>
                <c:pt idx="9">
                  <c:v>Talento Humano</c:v>
                </c:pt>
                <c:pt idx="10">
                  <c:v>Estímulos económicos</c:v>
                </c:pt>
                <c:pt idx="11">
                  <c:v>Estampilla</c:v>
                </c:pt>
                <c:pt idx="12">
                  <c:v>Talento Humano UNISALUD</c:v>
                </c:pt>
                <c:pt idx="13">
                  <c:v>Legalización Avances</c:v>
                </c:pt>
                <c:pt idx="14">
                  <c:v>Mantenimiento</c:v>
                </c:pt>
                <c:pt idx="15">
                  <c:v>Reguistro de Notas</c:v>
                </c:pt>
                <c:pt idx="16">
                  <c:v>SGSST</c:v>
                </c:pt>
                <c:pt idx="17">
                  <c:v>Reliquidacion Matricula </c:v>
                </c:pt>
                <c:pt idx="18">
                  <c:v>Matrícula Financiera</c:v>
                </c:pt>
              </c:strCache>
            </c:strRef>
          </c:cat>
          <c:val>
            <c:numRef>
              <c:f>'DETALLE INTERNOS'!$F$33:$F$51</c:f>
              <c:numCache>
                <c:formatCode>0%</c:formatCode>
                <c:ptCount val="19"/>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numCache>
            </c:numRef>
          </c:val>
          <c:smooth val="0"/>
          <c:extLst>
            <c:ext xmlns:c16="http://schemas.microsoft.com/office/drawing/2014/chart" uri="{C3380CC4-5D6E-409C-BE32-E72D297353CC}">
              <c16:uniqueId val="{00000002-4F3F-4CCD-B0F5-E6C8A108762F}"/>
            </c:ext>
          </c:extLst>
        </c:ser>
        <c:ser>
          <c:idx val="3"/>
          <c:order val="3"/>
          <c:tx>
            <c:strRef>
              <c:f>'DETALLE INTERNOS'!$G$32</c:f>
              <c:strCache>
                <c:ptCount val="1"/>
                <c:pt idx="0">
                  <c:v>Nivel sobresaliente</c:v>
                </c:pt>
              </c:strCache>
            </c:strRef>
          </c:tx>
          <c:spPr>
            <a:ln w="28575" cap="rnd">
              <a:solidFill>
                <a:srgbClr val="00B050"/>
              </a:solidFill>
              <a:round/>
            </a:ln>
            <a:effectLst/>
          </c:spPr>
          <c:marker>
            <c:symbol val="none"/>
          </c:marker>
          <c:cat>
            <c:strRef>
              <c:f>'DETALLE INTERNOS'!$B$33:$B$51</c:f>
              <c:strCache>
                <c:ptCount val="19"/>
                <c:pt idx="0">
                  <c:v>Comisión de Estudios</c:v>
                </c:pt>
                <c:pt idx="1">
                  <c:v>Control Interno Contable</c:v>
                </c:pt>
                <c:pt idx="2">
                  <c:v>Posgrados</c:v>
                </c:pt>
                <c:pt idx="3">
                  <c:v>Gestión Ambiental</c:v>
                </c:pt>
                <c:pt idx="4">
                  <c:v>Bienestar Universitario</c:v>
                </c:pt>
                <c:pt idx="5">
                  <c:v>Comisiones Académicas</c:v>
                </c:pt>
                <c:pt idx="6">
                  <c:v>Evaluación Docente</c:v>
                </c:pt>
                <c:pt idx="7">
                  <c:v>Transporte </c:v>
                </c:pt>
                <c:pt idx="8">
                  <c:v>Archivo Histórico</c:v>
                </c:pt>
                <c:pt idx="9">
                  <c:v>Talento Humano</c:v>
                </c:pt>
                <c:pt idx="10">
                  <c:v>Estímulos económicos</c:v>
                </c:pt>
                <c:pt idx="11">
                  <c:v>Estampilla</c:v>
                </c:pt>
                <c:pt idx="12">
                  <c:v>Talento Humano UNISALUD</c:v>
                </c:pt>
                <c:pt idx="13">
                  <c:v>Legalización Avances</c:v>
                </c:pt>
                <c:pt idx="14">
                  <c:v>Mantenimiento</c:v>
                </c:pt>
                <c:pt idx="15">
                  <c:v>Reguistro de Notas</c:v>
                </c:pt>
                <c:pt idx="16">
                  <c:v>SGSST</c:v>
                </c:pt>
                <c:pt idx="17">
                  <c:v>Reliquidacion Matricula </c:v>
                </c:pt>
                <c:pt idx="18">
                  <c:v>Matrícula Financiera</c:v>
                </c:pt>
              </c:strCache>
            </c:strRef>
          </c:cat>
          <c:val>
            <c:numRef>
              <c:f>'DETALLE INTERNOS'!$G$33:$G$51</c:f>
              <c:numCache>
                <c:formatCode>0%</c:formatCode>
                <c:ptCount val="19"/>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numCache>
            </c:numRef>
          </c:val>
          <c:smooth val="0"/>
          <c:extLst>
            <c:ext xmlns:c16="http://schemas.microsoft.com/office/drawing/2014/chart" uri="{C3380CC4-5D6E-409C-BE32-E72D297353CC}">
              <c16:uniqueId val="{00000003-4F3F-4CCD-B0F5-E6C8A108762F}"/>
            </c:ext>
          </c:extLst>
        </c:ser>
        <c:ser>
          <c:idx val="4"/>
          <c:order val="4"/>
          <c:tx>
            <c:strRef>
              <c:f>'DETALLE INTERNOS'!$L$32</c:f>
              <c:strCache>
                <c:ptCount val="1"/>
                <c:pt idx="0">
                  <c:v>Promedio seguimiento anterior</c:v>
                </c:pt>
              </c:strCache>
            </c:strRef>
          </c:tx>
          <c:spPr>
            <a:ln w="28575" cap="rnd">
              <a:solidFill>
                <a:schemeClr val="bg2">
                  <a:lumMod val="50000"/>
                </a:schemeClr>
              </a:solidFill>
              <a:round/>
            </a:ln>
            <a:effectLst/>
          </c:spPr>
          <c:marker>
            <c:symbol val="none"/>
          </c:marker>
          <c:cat>
            <c:strRef>
              <c:f>'DETALLE INTERNOS'!$B$33:$B$51</c:f>
              <c:strCache>
                <c:ptCount val="19"/>
                <c:pt idx="0">
                  <c:v>Comisión de Estudios</c:v>
                </c:pt>
                <c:pt idx="1">
                  <c:v>Control Interno Contable</c:v>
                </c:pt>
                <c:pt idx="2">
                  <c:v>Posgrados</c:v>
                </c:pt>
                <c:pt idx="3">
                  <c:v>Gestión Ambiental</c:v>
                </c:pt>
                <c:pt idx="4">
                  <c:v>Bienestar Universitario</c:v>
                </c:pt>
                <c:pt idx="5">
                  <c:v>Comisiones Académicas</c:v>
                </c:pt>
                <c:pt idx="6">
                  <c:v>Evaluación Docente</c:v>
                </c:pt>
                <c:pt idx="7">
                  <c:v>Transporte </c:v>
                </c:pt>
                <c:pt idx="8">
                  <c:v>Archivo Histórico</c:v>
                </c:pt>
                <c:pt idx="9">
                  <c:v>Talento Humano</c:v>
                </c:pt>
                <c:pt idx="10">
                  <c:v>Estímulos económicos</c:v>
                </c:pt>
                <c:pt idx="11">
                  <c:v>Estampilla</c:v>
                </c:pt>
                <c:pt idx="12">
                  <c:v>Talento Humano UNISALUD</c:v>
                </c:pt>
                <c:pt idx="13">
                  <c:v>Legalización Avances</c:v>
                </c:pt>
                <c:pt idx="14">
                  <c:v>Mantenimiento</c:v>
                </c:pt>
                <c:pt idx="15">
                  <c:v>Reguistro de Notas</c:v>
                </c:pt>
                <c:pt idx="16">
                  <c:v>SGSST</c:v>
                </c:pt>
                <c:pt idx="17">
                  <c:v>Reliquidacion Matricula </c:v>
                </c:pt>
                <c:pt idx="18">
                  <c:v>Matrícula Financiera</c:v>
                </c:pt>
              </c:strCache>
            </c:strRef>
          </c:cat>
          <c:val>
            <c:numRef>
              <c:f>'DETALLE INTERNOS'!$L$33:$L$51</c:f>
              <c:numCache>
                <c:formatCode>0%</c:formatCode>
                <c:ptCount val="19"/>
                <c:pt idx="0">
                  <c:v>0.67</c:v>
                </c:pt>
                <c:pt idx="1">
                  <c:v>0.67</c:v>
                </c:pt>
                <c:pt idx="2">
                  <c:v>0.67</c:v>
                </c:pt>
                <c:pt idx="3">
                  <c:v>0.67</c:v>
                </c:pt>
                <c:pt idx="4">
                  <c:v>0.67</c:v>
                </c:pt>
                <c:pt idx="5">
                  <c:v>0.67</c:v>
                </c:pt>
                <c:pt idx="6">
                  <c:v>0.67</c:v>
                </c:pt>
                <c:pt idx="7">
                  <c:v>0.67</c:v>
                </c:pt>
                <c:pt idx="8">
                  <c:v>0.67</c:v>
                </c:pt>
                <c:pt idx="9">
                  <c:v>0.67</c:v>
                </c:pt>
                <c:pt idx="10">
                  <c:v>0.67</c:v>
                </c:pt>
                <c:pt idx="11">
                  <c:v>0.67</c:v>
                </c:pt>
                <c:pt idx="12">
                  <c:v>0.67</c:v>
                </c:pt>
                <c:pt idx="13">
                  <c:v>0.67</c:v>
                </c:pt>
                <c:pt idx="14">
                  <c:v>0.67</c:v>
                </c:pt>
                <c:pt idx="15">
                  <c:v>0.67</c:v>
                </c:pt>
                <c:pt idx="16">
                  <c:v>0.67</c:v>
                </c:pt>
                <c:pt idx="17">
                  <c:v>0.67</c:v>
                </c:pt>
                <c:pt idx="18">
                  <c:v>0.67</c:v>
                </c:pt>
              </c:numCache>
            </c:numRef>
          </c:val>
          <c:smooth val="0"/>
          <c:extLst>
            <c:ext xmlns:c16="http://schemas.microsoft.com/office/drawing/2014/chart" uri="{C3380CC4-5D6E-409C-BE32-E72D297353CC}">
              <c16:uniqueId val="{00000004-4F3F-4CCD-B0F5-E6C8A108762F}"/>
            </c:ext>
          </c:extLst>
        </c:ser>
        <c:dLbls>
          <c:showLegendKey val="0"/>
          <c:showVal val="0"/>
          <c:showCatName val="0"/>
          <c:showSerName val="0"/>
          <c:showPercent val="0"/>
          <c:showBubbleSize val="0"/>
        </c:dLbls>
        <c:marker val="1"/>
        <c:smooth val="0"/>
        <c:axId val="275719296"/>
        <c:axId val="275720832"/>
      </c:lineChart>
      <c:catAx>
        <c:axId val="27571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5720832"/>
        <c:crosses val="autoZero"/>
        <c:auto val="1"/>
        <c:lblAlgn val="ctr"/>
        <c:lblOffset val="100"/>
        <c:noMultiLvlLbl val="0"/>
      </c:catAx>
      <c:valAx>
        <c:axId val="275720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571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JUNIO 2023-1</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'DETALLE CGR'!$M$2:$M$6</c:f>
              <c:numCache>
                <c:formatCode>0%</c:formatCode>
                <c:ptCount val="5"/>
                <c:pt idx="1">
                  <c:v>0.88846153846153864</c:v>
                </c:pt>
                <c:pt idx="2">
                  <c:v>0.89833333333333332</c:v>
                </c:pt>
                <c:pt idx="3">
                  <c:v>0.801111111111111</c:v>
                </c:pt>
                <c:pt idx="4">
                  <c:v>0.89697649572649574</c:v>
                </c:pt>
              </c:numCache>
            </c:numRef>
          </c:val>
          <c:extLst>
            <c:ext xmlns:c16="http://schemas.microsoft.com/office/drawing/2014/chart" uri="{C3380CC4-5D6E-409C-BE32-E72D297353CC}">
              <c16:uniqueId val="{00000014-D752-4050-9527-3399CFE1C181}"/>
            </c:ext>
          </c:extLst>
        </c:ser>
        <c:ser>
          <c:idx val="1"/>
          <c:order val="1"/>
          <c:tx>
            <c:v>DICIEMBRE 2023-2</c:v>
          </c:tx>
          <c:spPr>
            <a:solidFill>
              <a:srgbClr val="FF0000"/>
            </a:solidFill>
            <a:ln>
              <a:solidFill>
                <a:srgbClr val="FFFFFF"/>
              </a:solidFill>
              <a:prstDash val="soli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1"/>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'DETALLE CGR'!$N$2:$N$6</c:f>
              <c:numCache>
                <c:formatCode>0%</c:formatCode>
                <c:ptCount val="5"/>
                <c:pt idx="1">
                  <c:v>0.90615384615384609</c:v>
                </c:pt>
                <c:pt idx="2">
                  <c:v>0.94266666666666665</c:v>
                </c:pt>
                <c:pt idx="3">
                  <c:v>0.93444444444444441</c:v>
                </c:pt>
                <c:pt idx="4">
                  <c:v>0.92775498575498572</c:v>
                </c:pt>
              </c:numCache>
            </c:numRef>
          </c:val>
          <c:extLst>
            <c:ext xmlns:c16="http://schemas.microsoft.com/office/drawing/2014/chart" uri="{C3380CC4-5D6E-409C-BE32-E72D297353CC}">
              <c16:uniqueId val="{00000016-D752-4050-9527-3399CFE1C181}"/>
            </c:ext>
          </c:extLst>
        </c:ser>
        <c:dLbls>
          <c:showLegendKey val="0"/>
          <c:showVal val="0"/>
          <c:showCatName val="0"/>
          <c:showSerName val="0"/>
          <c:showPercent val="0"/>
          <c:showBubbleSize val="0"/>
        </c:dLbls>
        <c:gapWidth val="81"/>
        <c:axId val="1251434503"/>
        <c:axId val="1251436551"/>
      </c:barChart>
      <c:catAx>
        <c:axId val="1251434503"/>
        <c:scaling>
          <c:orientation val="minMax"/>
        </c:scaling>
        <c:delete val="1"/>
        <c:axPos val="l"/>
        <c:numFmt formatCode="General" sourceLinked="1"/>
        <c:majorTickMark val="none"/>
        <c:minorTickMark val="none"/>
        <c:tickLblPos val="none"/>
        <c:crossAx val="1251436551"/>
        <c:crosses val="autoZero"/>
        <c:auto val="1"/>
        <c:lblAlgn val="ctr"/>
        <c:lblOffset val="100"/>
        <c:noMultiLvlLbl val="0"/>
      </c:catAx>
      <c:valAx>
        <c:axId val="1251436551"/>
        <c:scaling>
          <c:orientation val="minMax"/>
        </c:scaling>
        <c:delete val="1"/>
        <c:axPos val="b"/>
        <c:numFmt formatCode="0%" sourceLinked="0"/>
        <c:majorTickMark val="none"/>
        <c:minorTickMark val="none"/>
        <c:tickLblPos val="none"/>
        <c:crossAx val="1251434503"/>
        <c:crosses val="autoZero"/>
        <c:crossBetween val="between"/>
      </c:valAx>
      <c:spPr>
        <a:noFill/>
        <a:ln>
          <a:noFill/>
        </a:ln>
        <a:effectLst/>
      </c:spPr>
    </c:plotArea>
    <c:legend>
      <c:legendPos val="t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809625</xdr:colOff>
      <xdr:row>0</xdr:row>
      <xdr:rowOff>180975</xdr:rowOff>
    </xdr:from>
    <xdr:to>
      <xdr:col>1</xdr:col>
      <xdr:colOff>300718</xdr:colOff>
      <xdr:row>1</xdr:row>
      <xdr:rowOff>758</xdr:rowOff>
    </xdr:to>
    <xdr:pic>
      <xdr:nvPicPr>
        <xdr:cNvPr id="3" name="Imagen 3">
          <a:extLst>
            <a:ext uri="{FF2B5EF4-FFF2-40B4-BE49-F238E27FC236}">
              <a16:creationId xmlns:a16="http://schemas.microsoft.com/office/drawing/2014/main" id="{43CC5EC2-8498-4C53-9798-EC547E21A0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180975"/>
          <a:ext cx="748393" cy="1019933"/>
        </a:xfrm>
        <a:prstGeom prst="rect">
          <a:avLst/>
        </a:prstGeom>
      </xdr:spPr>
    </xdr:pic>
    <xdr:clientData/>
  </xdr:twoCellAnchor>
  <xdr:twoCellAnchor editAs="oneCell">
    <xdr:from>
      <xdr:col>14</xdr:col>
      <xdr:colOff>571500</xdr:colOff>
      <xdr:row>0</xdr:row>
      <xdr:rowOff>228600</xdr:rowOff>
    </xdr:from>
    <xdr:to>
      <xdr:col>15</xdr:col>
      <xdr:colOff>519793</xdr:colOff>
      <xdr:row>1</xdr:row>
      <xdr:rowOff>48383</xdr:rowOff>
    </xdr:to>
    <xdr:pic>
      <xdr:nvPicPr>
        <xdr:cNvPr id="4" name="Imagen 3">
          <a:extLst>
            <a:ext uri="{FF2B5EF4-FFF2-40B4-BE49-F238E27FC236}">
              <a16:creationId xmlns:a16="http://schemas.microsoft.com/office/drawing/2014/main" id="{74BC22F7-6DDD-48D2-9644-2A085C72A1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97975" y="228600"/>
          <a:ext cx="748393" cy="10199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303112</xdr:colOff>
      <xdr:row>0</xdr:row>
      <xdr:rowOff>11906</xdr:rowOff>
    </xdr:from>
    <xdr:to>
      <xdr:col>1</xdr:col>
      <xdr:colOff>466093</xdr:colOff>
      <xdr:row>0</xdr:row>
      <xdr:rowOff>1311927</xdr:rowOff>
    </xdr:to>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112" y="11906"/>
          <a:ext cx="972606" cy="1300021"/>
        </a:xfrm>
        <a:prstGeom prst="rect">
          <a:avLst/>
        </a:prstGeom>
      </xdr:spPr>
    </xdr:pic>
    <xdr:clientData/>
  </xdr:twoCellAnchor>
  <xdr:twoCellAnchor editAs="oneCell">
    <xdr:from>
      <xdr:col>14</xdr:col>
      <xdr:colOff>299357</xdr:colOff>
      <xdr:row>0</xdr:row>
      <xdr:rowOff>0</xdr:rowOff>
    </xdr:from>
    <xdr:to>
      <xdr:col>15</xdr:col>
      <xdr:colOff>475945</xdr:colOff>
      <xdr:row>0</xdr:row>
      <xdr:rowOff>1300021</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73632" y="0"/>
          <a:ext cx="976688" cy="1300021"/>
        </a:xfrm>
        <a:prstGeom prst="rect">
          <a:avLst/>
        </a:prstGeom>
      </xdr:spPr>
    </xdr:pic>
    <xdr:clientData/>
  </xdr:twoCellAnchor>
  <xdr:twoCellAnchor editAs="oneCell">
    <xdr:from>
      <xdr:col>29</xdr:col>
      <xdr:colOff>3752852</xdr:colOff>
      <xdr:row>24</xdr:row>
      <xdr:rowOff>190497</xdr:rowOff>
    </xdr:from>
    <xdr:to>
      <xdr:col>29</xdr:col>
      <xdr:colOff>4808852</xdr:colOff>
      <xdr:row>28</xdr:row>
      <xdr:rowOff>160744</xdr:rowOff>
    </xdr:to>
    <xdr:pic>
      <xdr:nvPicPr>
        <xdr:cNvPr id="4" name="Imagen 3">
          <a:extLst>
            <a:ext uri="{FF2B5EF4-FFF2-40B4-BE49-F238E27FC236}">
              <a16:creationId xmlns:a16="http://schemas.microsoft.com/office/drawing/2014/main" id="{00000000-0008-0000-1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91352" y="35452047"/>
          <a:ext cx="1056000" cy="7036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303112</xdr:colOff>
      <xdr:row>0</xdr:row>
      <xdr:rowOff>11906</xdr:rowOff>
    </xdr:from>
    <xdr:to>
      <xdr:col>1</xdr:col>
      <xdr:colOff>466093</xdr:colOff>
      <xdr:row>0</xdr:row>
      <xdr:rowOff>1311927</xdr:rowOff>
    </xdr:to>
    <xdr:pic>
      <xdr:nvPicPr>
        <xdr:cNvPr id="2" name="Imagen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112" y="11906"/>
          <a:ext cx="972606" cy="1300021"/>
        </a:xfrm>
        <a:prstGeom prst="rect">
          <a:avLst/>
        </a:prstGeom>
      </xdr:spPr>
    </xdr:pic>
    <xdr:clientData/>
  </xdr:twoCellAnchor>
  <xdr:twoCellAnchor editAs="oneCell">
    <xdr:from>
      <xdr:col>14</xdr:col>
      <xdr:colOff>299357</xdr:colOff>
      <xdr:row>0</xdr:row>
      <xdr:rowOff>0</xdr:rowOff>
    </xdr:from>
    <xdr:to>
      <xdr:col>15</xdr:col>
      <xdr:colOff>475945</xdr:colOff>
      <xdr:row>0</xdr:row>
      <xdr:rowOff>1300021</xdr:rowOff>
    </xdr:to>
    <xdr:pic>
      <xdr:nvPicPr>
        <xdr:cNvPr id="3" name="Imagen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73632" y="0"/>
          <a:ext cx="976688" cy="13000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198337</xdr:colOff>
      <xdr:row>0</xdr:row>
      <xdr:rowOff>69056</xdr:rowOff>
    </xdr:from>
    <xdr:to>
      <xdr:col>1</xdr:col>
      <xdr:colOff>361318</xdr:colOff>
      <xdr:row>1</xdr:row>
      <xdr:rowOff>35577</xdr:rowOff>
    </xdr:to>
    <xdr:pic>
      <xdr:nvPicPr>
        <xdr:cNvPr id="5" name="Imagen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337" y="69056"/>
          <a:ext cx="972606" cy="1300021"/>
        </a:xfrm>
        <a:prstGeom prst="rect">
          <a:avLst/>
        </a:prstGeom>
      </xdr:spPr>
    </xdr:pic>
    <xdr:clientData/>
  </xdr:twoCellAnchor>
  <xdr:twoCellAnchor editAs="oneCell">
    <xdr:from>
      <xdr:col>14</xdr:col>
      <xdr:colOff>299357</xdr:colOff>
      <xdr:row>0</xdr:row>
      <xdr:rowOff>0</xdr:rowOff>
    </xdr:from>
    <xdr:to>
      <xdr:col>15</xdr:col>
      <xdr:colOff>475945</xdr:colOff>
      <xdr:row>0</xdr:row>
      <xdr:rowOff>1300021</xdr:rowOff>
    </xdr:to>
    <xdr:pic>
      <xdr:nvPicPr>
        <xdr:cNvPr id="3" name="Imagen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40157" y="0"/>
          <a:ext cx="976688" cy="13000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428625</xdr:colOff>
      <xdr:row>0</xdr:row>
      <xdr:rowOff>0</xdr:rowOff>
    </xdr:from>
    <xdr:to>
      <xdr:col>1</xdr:col>
      <xdr:colOff>383788</xdr:colOff>
      <xdr:row>1</xdr:row>
      <xdr:rowOff>18908</xdr:rowOff>
    </xdr:to>
    <xdr:pic>
      <xdr:nvPicPr>
        <xdr:cNvPr id="2" name="Imagen 1">
          <a:extLst>
            <a:ext uri="{FF2B5EF4-FFF2-40B4-BE49-F238E27FC236}">
              <a16:creationId xmlns:a16="http://schemas.microsoft.com/office/drawing/2014/main" id="{14487D34-D2E1-47E5-A235-2D6FB0652E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0"/>
          <a:ext cx="974338" cy="1295258"/>
        </a:xfrm>
        <a:prstGeom prst="rect">
          <a:avLst/>
        </a:prstGeom>
      </xdr:spPr>
    </xdr:pic>
    <xdr:clientData/>
  </xdr:twoCellAnchor>
  <xdr:twoCellAnchor editAs="oneCell">
    <xdr:from>
      <xdr:col>14</xdr:col>
      <xdr:colOff>544286</xdr:colOff>
      <xdr:row>0</xdr:row>
      <xdr:rowOff>40821</xdr:rowOff>
    </xdr:from>
    <xdr:to>
      <xdr:col>15</xdr:col>
      <xdr:colOff>717163</xdr:colOff>
      <xdr:row>1</xdr:row>
      <xdr:rowOff>59729</xdr:rowOff>
    </xdr:to>
    <xdr:pic>
      <xdr:nvPicPr>
        <xdr:cNvPr id="3" name="Imagen 2">
          <a:extLst>
            <a:ext uri="{FF2B5EF4-FFF2-40B4-BE49-F238E27FC236}">
              <a16:creationId xmlns:a16="http://schemas.microsoft.com/office/drawing/2014/main" id="{71EC6578-5D87-4F8C-B5B4-6F60015143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83107" y="40821"/>
          <a:ext cx="975699" cy="129797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303112</xdr:colOff>
      <xdr:row>0</xdr:row>
      <xdr:rowOff>11906</xdr:rowOff>
    </xdr:from>
    <xdr:to>
      <xdr:col>1</xdr:col>
      <xdr:colOff>466093</xdr:colOff>
      <xdr:row>0</xdr:row>
      <xdr:rowOff>1311927</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112" y="11906"/>
          <a:ext cx="972606" cy="1300021"/>
        </a:xfrm>
        <a:prstGeom prst="rect">
          <a:avLst/>
        </a:prstGeom>
      </xdr:spPr>
    </xdr:pic>
    <xdr:clientData/>
  </xdr:twoCellAnchor>
  <xdr:twoCellAnchor editAs="oneCell">
    <xdr:from>
      <xdr:col>14</xdr:col>
      <xdr:colOff>299357</xdr:colOff>
      <xdr:row>0</xdr:row>
      <xdr:rowOff>0</xdr:rowOff>
    </xdr:from>
    <xdr:to>
      <xdr:col>15</xdr:col>
      <xdr:colOff>475945</xdr:colOff>
      <xdr:row>0</xdr:row>
      <xdr:rowOff>1300021</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73632" y="0"/>
          <a:ext cx="976688" cy="13000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1</xdr:col>
      <xdr:colOff>390525</xdr:colOff>
      <xdr:row>0</xdr:row>
      <xdr:rowOff>1200150</xdr:rowOff>
    </xdr:to>
    <xdr:pic>
      <xdr:nvPicPr>
        <xdr:cNvPr id="12" name="Imagen 3">
          <a:extLst>
            <a:ext uri="{FF2B5EF4-FFF2-40B4-BE49-F238E27FC236}">
              <a16:creationId xmlns:a16="http://schemas.microsoft.com/office/drawing/2014/main" id="{A3D91C5B-6D4E-41F8-8A32-F3253D58D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0"/>
          <a:ext cx="885825" cy="1200150"/>
        </a:xfrm>
        <a:prstGeom prst="rect">
          <a:avLst/>
        </a:prstGeom>
      </xdr:spPr>
    </xdr:pic>
    <xdr:clientData/>
  </xdr:twoCellAnchor>
  <xdr:twoCellAnchor editAs="oneCell">
    <xdr:from>
      <xdr:col>14</xdr:col>
      <xdr:colOff>647700</xdr:colOff>
      <xdr:row>0</xdr:row>
      <xdr:rowOff>0</xdr:rowOff>
    </xdr:from>
    <xdr:to>
      <xdr:col>15</xdr:col>
      <xdr:colOff>447675</xdr:colOff>
      <xdr:row>0</xdr:row>
      <xdr:rowOff>1200150</xdr:rowOff>
    </xdr:to>
    <xdr:pic>
      <xdr:nvPicPr>
        <xdr:cNvPr id="15" name="Imagen 4">
          <a:extLst>
            <a:ext uri="{FF2B5EF4-FFF2-40B4-BE49-F238E27FC236}">
              <a16:creationId xmlns:a16="http://schemas.microsoft.com/office/drawing/2014/main" id="{81EA945E-5CA9-43D4-B3B8-1C675791127F}"/>
            </a:ext>
            <a:ext uri="{147F2762-F138-4A5C-976F-8EAC2B608ADB}">
              <a16:predDERef xmlns:a16="http://schemas.microsoft.com/office/drawing/2014/main" pred="{A3D91C5B-6D4E-41F8-8A32-F3253D58D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2564" y="0"/>
          <a:ext cx="891020" cy="12001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1</xdr:col>
      <xdr:colOff>517138</xdr:colOff>
      <xdr:row>0</xdr:row>
      <xdr:rowOff>1300021</xdr:rowOff>
    </xdr:to>
    <xdr:pic>
      <xdr:nvPicPr>
        <xdr:cNvPr id="2" name="Imagen 1">
          <a:extLst>
            <a:ext uri="{FF2B5EF4-FFF2-40B4-BE49-F238E27FC236}">
              <a16:creationId xmlns:a16="http://schemas.microsoft.com/office/drawing/2014/main" id="{87C7CB98-5FCA-441B-ACBB-5541A7F4D5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0"/>
          <a:ext cx="974338" cy="1300021"/>
        </a:xfrm>
        <a:prstGeom prst="rect">
          <a:avLst/>
        </a:prstGeom>
      </xdr:spPr>
    </xdr:pic>
    <xdr:clientData/>
  </xdr:twoCellAnchor>
  <xdr:twoCellAnchor editAs="oneCell">
    <xdr:from>
      <xdr:col>14</xdr:col>
      <xdr:colOff>514350</xdr:colOff>
      <xdr:row>0</xdr:row>
      <xdr:rowOff>0</xdr:rowOff>
    </xdr:from>
    <xdr:to>
      <xdr:col>15</xdr:col>
      <xdr:colOff>688588</xdr:colOff>
      <xdr:row>0</xdr:row>
      <xdr:rowOff>1300021</xdr:rowOff>
    </xdr:to>
    <xdr:pic>
      <xdr:nvPicPr>
        <xdr:cNvPr id="3" name="Imagen 2">
          <a:extLst>
            <a:ext uri="{FF2B5EF4-FFF2-40B4-BE49-F238E27FC236}">
              <a16:creationId xmlns:a16="http://schemas.microsoft.com/office/drawing/2014/main" id="{26C6D2E7-237E-4591-80F0-5C714DF74D14}"/>
            </a:ext>
            <a:ext uri="{147F2762-F138-4A5C-976F-8EAC2B608ADB}">
              <a16:predDERef xmlns:a16="http://schemas.microsoft.com/office/drawing/2014/main" pred="{87C7CB98-5FCA-441B-ACBB-5541A7F4D5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40925" y="0"/>
          <a:ext cx="974338" cy="13000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534456</xdr:colOff>
      <xdr:row>0</xdr:row>
      <xdr:rowOff>1300021</xdr:rowOff>
    </xdr:to>
    <xdr:pic>
      <xdr:nvPicPr>
        <xdr:cNvPr id="2" name="Imagen 1">
          <a:extLst>
            <a:ext uri="{FF2B5EF4-FFF2-40B4-BE49-F238E27FC236}">
              <a16:creationId xmlns:a16="http://schemas.microsoft.com/office/drawing/2014/main" id="{26E993BB-50E9-44C1-816B-1317EDDA5D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972606" cy="1300021"/>
        </a:xfrm>
        <a:prstGeom prst="rect">
          <a:avLst/>
        </a:prstGeom>
      </xdr:spPr>
    </xdr:pic>
    <xdr:clientData/>
  </xdr:twoCellAnchor>
  <xdr:twoCellAnchor editAs="oneCell">
    <xdr:from>
      <xdr:col>14</xdr:col>
      <xdr:colOff>534266</xdr:colOff>
      <xdr:row>0</xdr:row>
      <xdr:rowOff>190500</xdr:rowOff>
    </xdr:from>
    <xdr:to>
      <xdr:col>15</xdr:col>
      <xdr:colOff>706772</xdr:colOff>
      <xdr:row>1</xdr:row>
      <xdr:rowOff>139703</xdr:rowOff>
    </xdr:to>
    <xdr:pic>
      <xdr:nvPicPr>
        <xdr:cNvPr id="3" name="Imagen 2">
          <a:extLst>
            <a:ext uri="{FF2B5EF4-FFF2-40B4-BE49-F238E27FC236}">
              <a16:creationId xmlns:a16="http://schemas.microsoft.com/office/drawing/2014/main" id="{F2F1372A-6CCC-4141-B83C-005B8BA6A249}"/>
            </a:ext>
            <a:ext uri="{147F2762-F138-4A5C-976F-8EAC2B608ADB}">
              <a16:predDERef xmlns:a16="http://schemas.microsoft.com/office/drawing/2014/main" pred="{26E993BB-50E9-44C1-816B-1317EDDA5D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32266" y="190500"/>
          <a:ext cx="969142" cy="13000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323850</xdr:colOff>
      <xdr:row>0</xdr:row>
      <xdr:rowOff>152400</xdr:rowOff>
    </xdr:from>
    <xdr:to>
      <xdr:col>1</xdr:col>
      <xdr:colOff>486831</xdr:colOff>
      <xdr:row>0</xdr:row>
      <xdr:rowOff>1452421</xdr:rowOff>
    </xdr:to>
    <xdr:pic>
      <xdr:nvPicPr>
        <xdr:cNvPr id="2" name="Imagen 1">
          <a:extLst>
            <a:ext uri="{FF2B5EF4-FFF2-40B4-BE49-F238E27FC236}">
              <a16:creationId xmlns:a16="http://schemas.microsoft.com/office/drawing/2014/main" id="{88DDB965-619B-4821-B2FA-57272BB08C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52400"/>
          <a:ext cx="972606" cy="1300021"/>
        </a:xfrm>
        <a:prstGeom prst="rect">
          <a:avLst/>
        </a:prstGeom>
      </xdr:spPr>
    </xdr:pic>
    <xdr:clientData/>
  </xdr:twoCellAnchor>
  <xdr:twoCellAnchor editAs="oneCell">
    <xdr:from>
      <xdr:col>14</xdr:col>
      <xdr:colOff>762000</xdr:colOff>
      <xdr:row>0</xdr:row>
      <xdr:rowOff>180975</xdr:rowOff>
    </xdr:from>
    <xdr:to>
      <xdr:col>15</xdr:col>
      <xdr:colOff>534456</xdr:colOff>
      <xdr:row>0</xdr:row>
      <xdr:rowOff>1480996</xdr:rowOff>
    </xdr:to>
    <xdr:pic>
      <xdr:nvPicPr>
        <xdr:cNvPr id="3" name="Imagen 2">
          <a:extLst>
            <a:ext uri="{FF2B5EF4-FFF2-40B4-BE49-F238E27FC236}">
              <a16:creationId xmlns:a16="http://schemas.microsoft.com/office/drawing/2014/main" id="{C7459B74-B72A-4014-BF8F-9AF4EA33E2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50725" y="180975"/>
          <a:ext cx="972606" cy="130002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323850</xdr:colOff>
      <xdr:row>0</xdr:row>
      <xdr:rowOff>152400</xdr:rowOff>
    </xdr:from>
    <xdr:to>
      <xdr:col>1</xdr:col>
      <xdr:colOff>486831</xdr:colOff>
      <xdr:row>0</xdr:row>
      <xdr:rowOff>1452421</xdr:rowOff>
    </xdr:to>
    <xdr:pic>
      <xdr:nvPicPr>
        <xdr:cNvPr id="2" name="Imagen 1">
          <a:extLst>
            <a:ext uri="{FF2B5EF4-FFF2-40B4-BE49-F238E27FC236}">
              <a16:creationId xmlns:a16="http://schemas.microsoft.com/office/drawing/2014/main" id="{56E69B64-33BC-4538-8B94-A233895CD7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52400"/>
          <a:ext cx="1020231" cy="13000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285750</xdr:colOff>
      <xdr:row>0</xdr:row>
      <xdr:rowOff>108857</xdr:rowOff>
    </xdr:from>
    <xdr:to>
      <xdr:col>14</xdr:col>
      <xdr:colOff>1034143</xdr:colOff>
      <xdr:row>1</xdr:row>
      <xdr:rowOff>189897</xdr:rowOff>
    </xdr:to>
    <xdr:pic>
      <xdr:nvPicPr>
        <xdr:cNvPr id="2" name="Imagen 3">
          <a:extLst>
            <a:ext uri="{FF2B5EF4-FFF2-40B4-BE49-F238E27FC236}">
              <a16:creationId xmlns:a16="http://schemas.microsoft.com/office/drawing/2014/main" id="{787ACAFA-7A08-4AE4-9549-2DE4BF61DD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69643" y="108857"/>
          <a:ext cx="748393" cy="1019933"/>
        </a:xfrm>
        <a:prstGeom prst="rect">
          <a:avLst/>
        </a:prstGeom>
      </xdr:spPr>
    </xdr:pic>
    <xdr:clientData/>
  </xdr:twoCellAnchor>
  <xdr:twoCellAnchor editAs="oneCell">
    <xdr:from>
      <xdr:col>0</xdr:col>
      <xdr:colOff>653145</xdr:colOff>
      <xdr:row>0</xdr:row>
      <xdr:rowOff>54430</xdr:rowOff>
    </xdr:from>
    <xdr:to>
      <xdr:col>1</xdr:col>
      <xdr:colOff>2</xdr:colOff>
      <xdr:row>0</xdr:row>
      <xdr:rowOff>870376</xdr:rowOff>
    </xdr:to>
    <xdr:pic>
      <xdr:nvPicPr>
        <xdr:cNvPr id="3" name="Imagen 3">
          <a:extLst>
            <a:ext uri="{FF2B5EF4-FFF2-40B4-BE49-F238E27FC236}">
              <a16:creationId xmlns:a16="http://schemas.microsoft.com/office/drawing/2014/main" id="{2859EAE1-A365-4998-B533-1CBEF4BC02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5" y="54430"/>
          <a:ext cx="598714" cy="81594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534456</xdr:colOff>
      <xdr:row>0</xdr:row>
      <xdr:rowOff>1300021</xdr:rowOff>
    </xdr:to>
    <xdr:pic>
      <xdr:nvPicPr>
        <xdr:cNvPr id="2" name="Imagen 1">
          <a:extLst>
            <a:ext uri="{FF2B5EF4-FFF2-40B4-BE49-F238E27FC236}">
              <a16:creationId xmlns:a16="http://schemas.microsoft.com/office/drawing/2014/main" id="{160DF25D-2DED-4B42-9217-2069B7CCD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972606" cy="1300021"/>
        </a:xfrm>
        <a:prstGeom prst="rect">
          <a:avLst/>
        </a:prstGeom>
      </xdr:spPr>
    </xdr:pic>
    <xdr:clientData/>
  </xdr:twoCellAnchor>
  <xdr:twoCellAnchor editAs="oneCell">
    <xdr:from>
      <xdr:col>14</xdr:col>
      <xdr:colOff>534266</xdr:colOff>
      <xdr:row>0</xdr:row>
      <xdr:rowOff>190500</xdr:rowOff>
    </xdr:from>
    <xdr:to>
      <xdr:col>15</xdr:col>
      <xdr:colOff>706772</xdr:colOff>
      <xdr:row>1</xdr:row>
      <xdr:rowOff>139703</xdr:rowOff>
    </xdr:to>
    <xdr:pic>
      <xdr:nvPicPr>
        <xdr:cNvPr id="3" name="Imagen 2">
          <a:extLst>
            <a:ext uri="{FF2B5EF4-FFF2-40B4-BE49-F238E27FC236}">
              <a16:creationId xmlns:a16="http://schemas.microsoft.com/office/drawing/2014/main" id="{E52533F1-7769-4B8C-BC13-C026E6E7325C}"/>
            </a:ext>
            <a:ext uri="{147F2762-F138-4A5C-976F-8EAC2B608ADB}">
              <a16:predDERef xmlns:a16="http://schemas.microsoft.com/office/drawing/2014/main" pred="{160DF25D-2DED-4B42-9217-2069B7CCD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94341" y="190500"/>
          <a:ext cx="972606" cy="129222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0</xdr:rowOff>
    </xdr:from>
    <xdr:ext cx="654713" cy="573713"/>
    <xdr:pic>
      <xdr:nvPicPr>
        <xdr:cNvPr id="2" name="3 Imagen">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67150"/>
          <a:ext cx="654713" cy="573713"/>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654713" cy="573713"/>
    <xdr:pic>
      <xdr:nvPicPr>
        <xdr:cNvPr id="2" name="3 Imagen">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54713" cy="573713"/>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xdr:from>
      <xdr:col>18</xdr:col>
      <xdr:colOff>2042</xdr:colOff>
      <xdr:row>19</xdr:row>
      <xdr:rowOff>11566</xdr:rowOff>
    </xdr:from>
    <xdr:to>
      <xdr:col>21</xdr:col>
      <xdr:colOff>721179</xdr:colOff>
      <xdr:row>28</xdr:row>
      <xdr:rowOff>0</xdr:rowOff>
    </xdr:to>
    <xdr:graphicFrame macro="">
      <xdr:nvGraphicFramePr>
        <xdr:cNvPr id="3" name="Gráfico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690563</xdr:colOff>
      <xdr:row>28</xdr:row>
      <xdr:rowOff>0</xdr:rowOff>
    </xdr:from>
    <xdr:to>
      <xdr:col>28</xdr:col>
      <xdr:colOff>320676</xdr:colOff>
      <xdr:row>47</xdr:row>
      <xdr:rowOff>190499</xdr:rowOff>
    </xdr:to>
    <xdr:graphicFrame macro="">
      <xdr:nvGraphicFramePr>
        <xdr:cNvPr id="14" name="Gráfico 4">
          <a:extLst>
            <a:ext uri="{FF2B5EF4-FFF2-40B4-BE49-F238E27FC236}">
              <a16:creationId xmlns:a16="http://schemas.microsoft.com/office/drawing/2014/main" id="{00000000-0008-0000-1B00-000005000000}"/>
            </a:ext>
            <a:ext uri="{147F2762-F138-4A5C-976F-8EAC2B608ADB}">
              <a16:predDERef xmlns:a16="http://schemas.microsoft.com/office/drawing/2014/main" pre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742950</xdr:colOff>
      <xdr:row>7</xdr:row>
      <xdr:rowOff>152400</xdr:rowOff>
    </xdr:from>
    <xdr:to>
      <xdr:col>4</xdr:col>
      <xdr:colOff>571500</xdr:colOff>
      <xdr:row>25</xdr:row>
      <xdr:rowOff>76200</xdr:rowOff>
    </xdr:to>
    <xdr:graphicFrame macro="">
      <xdr:nvGraphicFramePr>
        <xdr:cNvPr id="5" name="Gráfico 4">
          <a:extLst>
            <a:ext uri="{FF2B5EF4-FFF2-40B4-BE49-F238E27FC236}">
              <a16:creationId xmlns:a16="http://schemas.microsoft.com/office/drawing/2014/main" id="{A5343A81-6210-36C9-10BE-5A8AB05D7163}"/>
            </a:ext>
            <a:ext uri="{147F2762-F138-4A5C-976F-8EAC2B608ADB}">
              <a16:predDERef xmlns:a16="http://schemas.microsoft.com/office/drawing/2014/main" pre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831273</xdr:colOff>
      <xdr:row>0</xdr:row>
      <xdr:rowOff>0</xdr:rowOff>
    </xdr:from>
    <xdr:to>
      <xdr:col>1</xdr:col>
      <xdr:colOff>320202</xdr:colOff>
      <xdr:row>1</xdr:row>
      <xdr:rowOff>102069</xdr:rowOff>
    </xdr:to>
    <xdr:pic>
      <xdr:nvPicPr>
        <xdr:cNvPr id="2" name="Imagen 3">
          <a:extLst>
            <a:ext uri="{FF2B5EF4-FFF2-40B4-BE49-F238E27FC236}">
              <a16:creationId xmlns:a16="http://schemas.microsoft.com/office/drawing/2014/main" id="{70FD894B-9AD3-4C89-AA11-9C8ABC491F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1273" y="0"/>
          <a:ext cx="753156" cy="1019933"/>
        </a:xfrm>
        <a:prstGeom prst="rect">
          <a:avLst/>
        </a:prstGeom>
      </xdr:spPr>
    </xdr:pic>
    <xdr:clientData/>
  </xdr:twoCellAnchor>
  <xdr:twoCellAnchor editAs="oneCell">
    <xdr:from>
      <xdr:col>14</xdr:col>
      <xdr:colOff>502227</xdr:colOff>
      <xdr:row>0</xdr:row>
      <xdr:rowOff>103909</xdr:rowOff>
    </xdr:from>
    <xdr:to>
      <xdr:col>15</xdr:col>
      <xdr:colOff>250929</xdr:colOff>
      <xdr:row>1</xdr:row>
      <xdr:rowOff>205978</xdr:rowOff>
    </xdr:to>
    <xdr:pic>
      <xdr:nvPicPr>
        <xdr:cNvPr id="3" name="Imagen 3">
          <a:extLst>
            <a:ext uri="{FF2B5EF4-FFF2-40B4-BE49-F238E27FC236}">
              <a16:creationId xmlns:a16="http://schemas.microsoft.com/office/drawing/2014/main" id="{EF620FFE-D7D3-46E8-A294-B4D57AF76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25954" y="103909"/>
          <a:ext cx="753156" cy="10199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523875</xdr:colOff>
      <xdr:row>0</xdr:row>
      <xdr:rowOff>219075</xdr:rowOff>
    </xdr:from>
    <xdr:to>
      <xdr:col>15</xdr:col>
      <xdr:colOff>348343</xdr:colOff>
      <xdr:row>1</xdr:row>
      <xdr:rowOff>758</xdr:rowOff>
    </xdr:to>
    <xdr:pic>
      <xdr:nvPicPr>
        <xdr:cNvPr id="2" name="Imagen 3">
          <a:extLst>
            <a:ext uri="{FF2B5EF4-FFF2-40B4-BE49-F238E27FC236}">
              <a16:creationId xmlns:a16="http://schemas.microsoft.com/office/drawing/2014/main" id="{70C0B6B5-E82A-40E4-AF2A-15D2FDCE24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64700" y="219075"/>
          <a:ext cx="748393" cy="1019933"/>
        </a:xfrm>
        <a:prstGeom prst="rect">
          <a:avLst/>
        </a:prstGeom>
      </xdr:spPr>
    </xdr:pic>
    <xdr:clientData/>
  </xdr:twoCellAnchor>
  <xdr:twoCellAnchor editAs="oneCell">
    <xdr:from>
      <xdr:col>0</xdr:col>
      <xdr:colOff>790575</xdr:colOff>
      <xdr:row>0</xdr:row>
      <xdr:rowOff>142875</xdr:rowOff>
    </xdr:from>
    <xdr:to>
      <xdr:col>1</xdr:col>
      <xdr:colOff>281668</xdr:colOff>
      <xdr:row>0</xdr:row>
      <xdr:rowOff>1162808</xdr:rowOff>
    </xdr:to>
    <xdr:pic>
      <xdr:nvPicPr>
        <xdr:cNvPr id="3" name="Imagen 3">
          <a:extLst>
            <a:ext uri="{FF2B5EF4-FFF2-40B4-BE49-F238E27FC236}">
              <a16:creationId xmlns:a16="http://schemas.microsoft.com/office/drawing/2014/main" id="{428F5CAA-90F7-40D7-BCDD-4C99ACE301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142875"/>
          <a:ext cx="748393" cy="10199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884465</xdr:colOff>
      <xdr:row>0</xdr:row>
      <xdr:rowOff>0</xdr:rowOff>
    </xdr:from>
    <xdr:to>
      <xdr:col>1</xdr:col>
      <xdr:colOff>385764</xdr:colOff>
      <xdr:row>1</xdr:row>
      <xdr:rowOff>13004</xdr:rowOff>
    </xdr:to>
    <xdr:pic>
      <xdr:nvPicPr>
        <xdr:cNvPr id="2" name="Imagen 3">
          <a:extLst>
            <a:ext uri="{FF2B5EF4-FFF2-40B4-BE49-F238E27FC236}">
              <a16:creationId xmlns:a16="http://schemas.microsoft.com/office/drawing/2014/main" id="{7AB75443-B6F7-42F4-9C17-3BE82D8A81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465" y="0"/>
          <a:ext cx="753156" cy="1019933"/>
        </a:xfrm>
        <a:prstGeom prst="rect">
          <a:avLst/>
        </a:prstGeom>
      </xdr:spPr>
    </xdr:pic>
    <xdr:clientData/>
  </xdr:twoCellAnchor>
  <xdr:twoCellAnchor editAs="oneCell">
    <xdr:from>
      <xdr:col>14</xdr:col>
      <xdr:colOff>557892</xdr:colOff>
      <xdr:row>0</xdr:row>
      <xdr:rowOff>149678</xdr:rowOff>
    </xdr:from>
    <xdr:to>
      <xdr:col>15</xdr:col>
      <xdr:colOff>344941</xdr:colOff>
      <xdr:row>1</xdr:row>
      <xdr:rowOff>162682</xdr:rowOff>
    </xdr:to>
    <xdr:pic>
      <xdr:nvPicPr>
        <xdr:cNvPr id="3" name="Imagen 3">
          <a:extLst>
            <a:ext uri="{FF2B5EF4-FFF2-40B4-BE49-F238E27FC236}">
              <a16:creationId xmlns:a16="http://schemas.microsoft.com/office/drawing/2014/main" id="{F9D8E79E-1C91-4867-966A-1AFC233B2F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28678" y="149678"/>
          <a:ext cx="753156" cy="10199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898072</xdr:colOff>
      <xdr:row>0</xdr:row>
      <xdr:rowOff>27214</xdr:rowOff>
    </xdr:from>
    <xdr:to>
      <xdr:col>1</xdr:col>
      <xdr:colOff>399371</xdr:colOff>
      <xdr:row>0</xdr:row>
      <xdr:rowOff>1047147</xdr:rowOff>
    </xdr:to>
    <xdr:pic>
      <xdr:nvPicPr>
        <xdr:cNvPr id="2" name="Imagen 3">
          <a:extLst>
            <a:ext uri="{FF2B5EF4-FFF2-40B4-BE49-F238E27FC236}">
              <a16:creationId xmlns:a16="http://schemas.microsoft.com/office/drawing/2014/main" id="{E5EC8EAB-9480-49D4-B9E9-D82437F265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8072" y="27214"/>
          <a:ext cx="753156" cy="1019933"/>
        </a:xfrm>
        <a:prstGeom prst="rect">
          <a:avLst/>
        </a:prstGeom>
      </xdr:spPr>
    </xdr:pic>
    <xdr:clientData/>
  </xdr:twoCellAnchor>
  <xdr:twoCellAnchor editAs="oneCell">
    <xdr:from>
      <xdr:col>14</xdr:col>
      <xdr:colOff>503464</xdr:colOff>
      <xdr:row>0</xdr:row>
      <xdr:rowOff>163285</xdr:rowOff>
    </xdr:from>
    <xdr:to>
      <xdr:col>15</xdr:col>
      <xdr:colOff>426584</xdr:colOff>
      <xdr:row>1</xdr:row>
      <xdr:rowOff>81039</xdr:rowOff>
    </xdr:to>
    <xdr:pic>
      <xdr:nvPicPr>
        <xdr:cNvPr id="3" name="Imagen 3">
          <a:extLst>
            <a:ext uri="{FF2B5EF4-FFF2-40B4-BE49-F238E27FC236}">
              <a16:creationId xmlns:a16="http://schemas.microsoft.com/office/drawing/2014/main" id="{426E4793-0566-4061-833E-2686AD55A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08785" y="163285"/>
          <a:ext cx="753156" cy="10199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904875</xdr:colOff>
      <xdr:row>0</xdr:row>
      <xdr:rowOff>0</xdr:rowOff>
    </xdr:from>
    <xdr:to>
      <xdr:col>2</xdr:col>
      <xdr:colOff>48306</xdr:colOff>
      <xdr:row>2</xdr:row>
      <xdr:rowOff>10283</xdr:rowOff>
    </xdr:to>
    <xdr:pic>
      <xdr:nvPicPr>
        <xdr:cNvPr id="2" name="Imagen 3">
          <a:extLst>
            <a:ext uri="{FF2B5EF4-FFF2-40B4-BE49-F238E27FC236}">
              <a16:creationId xmlns:a16="http://schemas.microsoft.com/office/drawing/2014/main" id="{F8D426DE-777C-48DA-BFBC-CF195293B5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 y="0"/>
          <a:ext cx="753156" cy="1019933"/>
        </a:xfrm>
        <a:prstGeom prst="rect">
          <a:avLst/>
        </a:prstGeom>
      </xdr:spPr>
    </xdr:pic>
    <xdr:clientData/>
  </xdr:twoCellAnchor>
  <xdr:twoCellAnchor editAs="oneCell">
    <xdr:from>
      <xdr:col>14</xdr:col>
      <xdr:colOff>581025</xdr:colOff>
      <xdr:row>0</xdr:row>
      <xdr:rowOff>0</xdr:rowOff>
    </xdr:from>
    <xdr:to>
      <xdr:col>15</xdr:col>
      <xdr:colOff>438830</xdr:colOff>
      <xdr:row>2</xdr:row>
      <xdr:rowOff>10283</xdr:rowOff>
    </xdr:to>
    <xdr:pic>
      <xdr:nvPicPr>
        <xdr:cNvPr id="3" name="Imagen 3">
          <a:extLst>
            <a:ext uri="{FF2B5EF4-FFF2-40B4-BE49-F238E27FC236}">
              <a16:creationId xmlns:a16="http://schemas.microsoft.com/office/drawing/2014/main" id="{1FBC2246-47F7-49C3-989B-705E64D8EB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50450" y="0"/>
          <a:ext cx="753156" cy="10199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876300</xdr:colOff>
      <xdr:row>0</xdr:row>
      <xdr:rowOff>161925</xdr:rowOff>
    </xdr:from>
    <xdr:to>
      <xdr:col>2</xdr:col>
      <xdr:colOff>95931</xdr:colOff>
      <xdr:row>0</xdr:row>
      <xdr:rowOff>1181858</xdr:rowOff>
    </xdr:to>
    <xdr:pic>
      <xdr:nvPicPr>
        <xdr:cNvPr id="2" name="Imagen 3">
          <a:extLst>
            <a:ext uri="{FF2B5EF4-FFF2-40B4-BE49-F238E27FC236}">
              <a16:creationId xmlns:a16="http://schemas.microsoft.com/office/drawing/2014/main" id="{FE417AC2-EDC3-486A-A96E-5D2A7B4389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161925"/>
          <a:ext cx="753156" cy="1019933"/>
        </a:xfrm>
        <a:prstGeom prst="rect">
          <a:avLst/>
        </a:prstGeom>
      </xdr:spPr>
    </xdr:pic>
    <xdr:clientData/>
  </xdr:twoCellAnchor>
  <xdr:twoCellAnchor editAs="oneCell">
    <xdr:from>
      <xdr:col>14</xdr:col>
      <xdr:colOff>257175</xdr:colOff>
      <xdr:row>0</xdr:row>
      <xdr:rowOff>342900</xdr:rowOff>
    </xdr:from>
    <xdr:to>
      <xdr:col>15</xdr:col>
      <xdr:colOff>381681</xdr:colOff>
      <xdr:row>0</xdr:row>
      <xdr:rowOff>1362833</xdr:rowOff>
    </xdr:to>
    <xdr:pic>
      <xdr:nvPicPr>
        <xdr:cNvPr id="3" name="Imagen 3">
          <a:extLst>
            <a:ext uri="{FF2B5EF4-FFF2-40B4-BE49-F238E27FC236}">
              <a16:creationId xmlns:a16="http://schemas.microsoft.com/office/drawing/2014/main" id="{FA0CF9B2-3C60-475C-93BE-9AAA7F90C5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12125" y="342900"/>
          <a:ext cx="753156" cy="10199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303112</xdr:colOff>
      <xdr:row>0</xdr:row>
      <xdr:rowOff>11906</xdr:rowOff>
    </xdr:from>
    <xdr:to>
      <xdr:col>1</xdr:col>
      <xdr:colOff>370843</xdr:colOff>
      <xdr:row>0</xdr:row>
      <xdr:rowOff>1311927</xdr:rowOff>
    </xdr:to>
    <xdr:pic>
      <xdr:nvPicPr>
        <xdr:cNvPr id="2" name="Imagen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112" y="11906"/>
          <a:ext cx="972606" cy="1300021"/>
        </a:xfrm>
        <a:prstGeom prst="rect">
          <a:avLst/>
        </a:prstGeom>
      </xdr:spPr>
    </xdr:pic>
    <xdr:clientData/>
  </xdr:twoCellAnchor>
  <xdr:twoCellAnchor editAs="oneCell">
    <xdr:from>
      <xdr:col>14</xdr:col>
      <xdr:colOff>299357</xdr:colOff>
      <xdr:row>0</xdr:row>
      <xdr:rowOff>0</xdr:rowOff>
    </xdr:from>
    <xdr:to>
      <xdr:col>15</xdr:col>
      <xdr:colOff>475946</xdr:colOff>
      <xdr:row>0</xdr:row>
      <xdr:rowOff>1300021</xdr:rowOff>
    </xdr:to>
    <xdr:pic>
      <xdr:nvPicPr>
        <xdr:cNvPr id="3" name="Imagen 3">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50007" y="0"/>
          <a:ext cx="976689" cy="13000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caucaeduco-my.sharepoint.com/Users/UNICAUCA/Downloads/Comisiones%20Acad&#233;mic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caucaeduco-my.sharepoint.com/MIS%20DOCUMENTOS/Desktop/Doc%20VRI/OCI%202019/PLANES/Planes%20de%20Mejoramiento/Seguimiento%20Nov/PM%20informes%20de%20gesti&#243;n/Copia%20de%20PM%20INFORME%20GESTI&#211;N%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caucaeduco-my.sharepoint.com/Users/PC/Desktop/PMs/PE-GS-2.2.1-FOR-26-Formato%20Plan%20de%20Mejora%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CI/OCI%202021/Planes/Planes%20de%20Mejoramiento/Formato%20PM%202021/PE-GS-2.2.1-FOR-26-Formato%20Plan%20de%20Mejora%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ón PlanMejora"/>
      <sheetName val="Seguimiento PlandeMejora"/>
      <sheetName val="Datos"/>
      <sheetName val="Form. Accion Correctiva (1)"/>
      <sheetName val="Form. Accion Correctiva (2)"/>
      <sheetName val="Form. Accion Correctiva (3)"/>
      <sheetName val="Form. Accion Correctiva (4)"/>
      <sheetName val="Form. Accion Correctiva (5)"/>
      <sheetName val="Form. Accion Correctiva (6)"/>
      <sheetName val="Form. Accion Correctiva (7)"/>
      <sheetName val="Form. Accion Correctiva (8)"/>
      <sheetName val="Form. Accion Correctiva (9)"/>
      <sheetName val="Form. Accion Correctiva (10)"/>
      <sheetName val="Form. Accion Correctiva (11)"/>
      <sheetName val="Form. Accion Correctiva (12)"/>
      <sheetName val="Form. Accion Correctiva (13)"/>
      <sheetName val="Form. Accion Correctiva (14)"/>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ón PlanMejora"/>
      <sheetName val="Seguimiento PlandeMejora"/>
      <sheetName val="Hoja1"/>
      <sheetName val="Dato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alidas No Conformes"/>
      <sheetName val="Formulación Plan Mejora"/>
      <sheetName val="Seguimiento PlandeMejora"/>
      <sheetName val="Datos"/>
      <sheetName val="Form. Accion Correctiva (1)"/>
      <sheetName val="Hoja2"/>
      <sheetName val="Hoja6"/>
      <sheetName val="Hoja5"/>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alidas No Conformes"/>
      <sheetName val="Formulación Plan Mejora"/>
      <sheetName val="Seguimiento PlandeMejora"/>
      <sheetName val="Datos"/>
      <sheetName val="Form. Accion Correctiva (1)"/>
      <sheetName val="Form. Accion Correctiva (2)"/>
      <sheetName val="Form. Accion Correctiva (3)"/>
      <sheetName val="Form. Accion Correctiva (4)"/>
      <sheetName val="Form. Accion Correctiva (5)"/>
      <sheetName val="Form. Accion Correctiva (6)"/>
      <sheetName val="Form. Accion Correctiva (7)"/>
      <sheetName val="Form. Accion Correctiva (8)"/>
      <sheetName val="Form. Accion Correctiva (9)"/>
      <sheetName val="Form. Accion Correctiva (10)"/>
      <sheetName val="Form. Accion Correctiva (11)"/>
      <sheetName val="Form. Accion Correctiva (12)"/>
      <sheetName val="Form. Accion Correctiva (13)"/>
      <sheetName val="Form. Accion Correctiva (14)"/>
      <sheetName val="Hoja2"/>
      <sheetName val="Hoja6"/>
      <sheetName val="Hoja5"/>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persons/person.xml><?xml version="1.0" encoding="utf-8"?>
<personList xmlns="http://schemas.microsoft.com/office/spreadsheetml/2018/threadedcomments" xmlns:x="http://schemas.openxmlformats.org/spreadsheetml/2006/main">
  <person displayName="MARIO CAMILO CAMPO MOLANO" id="{90DF3132-508E-4610-AD16-468A609F52DC}" userId="S::mariocampo@unicauca.edu.co::c91d5167-aab4-4557-a44f-a1899cccf76d" providerId="AD"/>
  <person displayName="MABEL ALEXANDRA URBANO URBANO" id="{F06BBBD3-C5F2-4CB4-8308-F449BF47BF18}" userId="S::mabelaexa14@unicauca.edu.co::9bb0a792-76ad-4a24-ba9d-77a0278917b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E1696A-82DD-44F3-BC9C-248716A0C937}" name="Tabla13" displayName="Tabla13" ref="A1:P24" totalsRowShown="0" headerRowDxfId="20" dataDxfId="19" headerRowBorderDxfId="17" tableBorderDxfId="18" totalsRowBorderDxfId="16">
  <autoFilter ref="A1:P24" xr:uid="{03E1696A-82DD-44F3-BC9C-248716A0C937}"/>
  <tableColumns count="16">
    <tableColumn id="1" xr3:uid="{61AA3746-12B2-4289-B252-827304C07F8B}" name="Nº" dataDxfId="15"/>
    <tableColumn id="16" xr3:uid="{80AD532F-4446-43AF-AF2F-D31F071A9681}" name="Año" dataDxfId="14"/>
    <tableColumn id="15" xr3:uid="{CCFF3C46-9F42-48E0-AFA4-8FA4823B2677}" name="Proceso Responsable" dataDxfId="13"/>
    <tableColumn id="2" xr3:uid="{B70BFD6A-D5BF-4B0B-9110-C5F1FC2BF858}" name="Dependencia Responsable" dataDxfId="12"/>
    <tableColumn id="3" xr3:uid="{AF911CBF-F0DF-4E25-B91F-48DE70B5D4A8}" name="Plan de Mejoramiento" dataDxfId="11"/>
    <tableColumn id="5" xr3:uid="{CE3E9809-71BD-446B-8A17-B643451C7439}" name="Fecha de suscripción" dataDxfId="10"/>
    <tableColumn id="6" xr3:uid="{D73802B9-98A6-4BF8-B10C-37C996A8381B}" name="Fecha de Inicio" dataDxfId="9"/>
    <tableColumn id="7" xr3:uid="{414D427C-015F-43DB-ACCF-E7D2D4F0469D}" name="Fecha Vencimiento" dataDxfId="8"/>
    <tableColumn id="8" xr3:uid="{1458C370-2E9A-4299-A6D3-724B2029BAC6}" name="Porcentaje de Avance 2023-2" dataDxfId="7">
      <calculatedColumnFormula>#REF!</calculatedColumnFormula>
    </tableColumn>
    <tableColumn id="9" xr3:uid="{4A5F69F5-A8C2-4C07-BA24-1EAB6FFA2FC7}" name="Porcentaje de Cumplimiento 2023-2" dataDxfId="6">
      <calculatedColumnFormula>#REF!</calculatedColumnFormula>
    </tableColumn>
    <tableColumn id="22" xr3:uid="{5D0A8E46-540F-47F8-B0D8-579BA3912902}" name="Efectividad 2023-2" dataDxfId="5"/>
    <tableColumn id="10" xr3:uid="{3DDBF7B4-E4B7-457F-BE6C-8B1E4DCB2219}" name="Fecha último seguimiento" dataDxfId="4"/>
    <tableColumn id="11" xr3:uid="{C0E703EF-23FF-4FEB-9AC3-B64E135E8D3F}" name="Estado" dataDxfId="3"/>
    <tableColumn id="12" xr3:uid="{A9E1FD2E-AA00-454B-A436-18CA25CCB1A6}" name="Observación" dataDxfId="2"/>
    <tableColumn id="13" xr3:uid="{E6929E3F-5FC6-4388-A7B8-8DAB917C0305}" name="Cierre oficial" dataDxfId="1"/>
    <tableColumn id="14" xr3:uid="{C1ABEA25-3683-434C-8CDE-0119BEBE0EDA}" name="Responsable_x000a_del Seguimiento"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7" dT="2023-07-05T21:40:53.91" personId="{90DF3132-508E-4610-AD16-468A609F52DC}" id="{51F964FB-DEE5-4B5F-A4E2-0E124FEAEBAE}">
    <text xml:space="preserve">Fechas </text>
  </threadedComment>
</ThreadedComments>
</file>

<file path=xl/threadedComments/threadedComment2.xml><?xml version="1.0" encoding="utf-8"?>
<ThreadedComments xmlns="http://schemas.microsoft.com/office/spreadsheetml/2018/threadedcomments" xmlns:x="http://schemas.openxmlformats.org/spreadsheetml/2006/main">
  <threadedComment ref="Q11" dT="2023-01-16T20:47:48.60" personId="{F06BBBD3-C5F2-4CB4-8308-F449BF47BF18}" id="{4DBA0F16-BB2A-4CA2-B845-5587A47A2135}">
    <text xml:space="preserve">Reformulada.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5.xml"/><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1.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7.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drive.google.com/file/d/1z0dtt2XbCbygBe0qZCCAQA8-UUK5s96Z/view?usp=sharing" TargetMode="External"/><Relationship Id="rId2" Type="http://schemas.openxmlformats.org/officeDocument/2006/relationships/hyperlink" Target="https://drive.google.com/file/d/1z0dtt2XbCbygBe0qZCCAQA8-UUK5s96Z/view?usp=sharing" TargetMode="External"/><Relationship Id="rId1" Type="http://schemas.openxmlformats.org/officeDocument/2006/relationships/hyperlink" Target="http://www.unicauca.edu.co/versionP/documentos/comunicados/comunicado-sobre-firma-yo-suscripci%C3%B3n-en-documentos-institucionales-con-la-menci%C3%B3n-del-cargo-corr" TargetMode="External"/><Relationship Id="rId5" Type="http://schemas.openxmlformats.org/officeDocument/2006/relationships/drawing" Target="../drawings/drawing7.xml"/><Relationship Id="rId4" Type="http://schemas.openxmlformats.org/officeDocument/2006/relationships/hyperlink" Target="https://drive.google.com/file/d/12gYOe1xeVj-VrFByGT0aklDhNm20tOdA/view?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D4CB8-B9B7-4B43-90B0-4527A4857D6C}">
  <sheetPr filterMode="1">
    <tabColor theme="0"/>
  </sheetPr>
  <dimension ref="A1:AF37"/>
  <sheetViews>
    <sheetView zoomScale="55" zoomScaleNormal="55" workbookViewId="0">
      <selection activeCell="C7" sqref="C7"/>
    </sheetView>
  </sheetViews>
  <sheetFormatPr defaultColWidth="18.85546875" defaultRowHeight="14.25"/>
  <cols>
    <col min="1" max="2" width="18.85546875" style="75"/>
    <col min="3" max="3" width="44.42578125" style="75" customWidth="1"/>
    <col min="4" max="4" width="41.5703125" style="75" customWidth="1"/>
    <col min="5" max="5" width="31.5703125" style="75" customWidth="1"/>
    <col min="6" max="6" width="33" style="75" customWidth="1"/>
    <col min="7" max="7" width="22.140625" style="75" customWidth="1"/>
    <col min="8" max="8" width="16.28515625" style="75" customWidth="1"/>
    <col min="9" max="9" width="24.42578125" style="75" customWidth="1"/>
    <col min="10" max="10" width="21.5703125" style="75" customWidth="1"/>
    <col min="11" max="11" width="18.85546875" style="75" customWidth="1"/>
    <col min="12" max="12" width="24.7109375" style="75" customWidth="1"/>
    <col min="13" max="13" width="14.140625" style="75" customWidth="1"/>
    <col min="14" max="14" width="14.85546875" style="75" customWidth="1"/>
    <col min="15" max="15" width="12" style="75" customWidth="1"/>
    <col min="16" max="16" width="17.5703125" style="75" customWidth="1"/>
    <col min="17" max="17" width="17" style="75" customWidth="1"/>
    <col min="18" max="19" width="9.140625" style="75" hidden="1" customWidth="1"/>
    <col min="20" max="20" width="9.140625" style="75" bestFit="1" customWidth="1"/>
    <col min="21" max="21" width="12" style="75" customWidth="1"/>
    <col min="22" max="22" width="14" style="75" hidden="1" customWidth="1"/>
    <col min="23" max="23" width="16.42578125" style="75" hidden="1" customWidth="1"/>
    <col min="24" max="24" width="29.5703125" style="75" customWidth="1"/>
    <col min="25" max="25" width="57" style="75" customWidth="1"/>
    <col min="26" max="29" width="11.5703125" style="75" customWidth="1"/>
    <col min="30" max="30" width="87.42578125" style="75" customWidth="1"/>
    <col min="31" max="16384" width="18.85546875" style="75"/>
  </cols>
  <sheetData>
    <row r="1" spans="1:30" ht="94.5" customHeight="1">
      <c r="A1" s="663" t="s">
        <v>0</v>
      </c>
      <c r="B1" s="663"/>
      <c r="C1" s="663" t="s">
        <v>0</v>
      </c>
      <c r="D1" s="663"/>
      <c r="E1" s="663"/>
      <c r="F1" s="663"/>
      <c r="G1" s="663"/>
      <c r="H1" s="663"/>
      <c r="I1" s="663"/>
      <c r="J1" s="663"/>
      <c r="K1" s="663"/>
      <c r="L1" s="663"/>
      <c r="M1" s="663"/>
      <c r="N1" s="663"/>
      <c r="O1" s="663"/>
      <c r="P1" s="663"/>
      <c r="Q1" s="663" t="s">
        <v>1</v>
      </c>
      <c r="R1" s="663"/>
      <c r="S1" s="663"/>
      <c r="T1" s="663"/>
      <c r="U1" s="663"/>
      <c r="V1" s="663"/>
      <c r="W1" s="663"/>
      <c r="X1" s="663"/>
      <c r="Y1" s="663"/>
      <c r="Z1" s="668" t="s">
        <v>1</v>
      </c>
      <c r="AA1" s="669"/>
      <c r="AB1" s="669"/>
      <c r="AC1" s="669"/>
      <c r="AD1" s="670"/>
    </row>
    <row r="2" spans="1:30" ht="22.5"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71"/>
      <c r="AA2" s="672"/>
      <c r="AB2" s="672"/>
      <c r="AC2" s="672"/>
      <c r="AD2" s="673"/>
    </row>
    <row r="3" spans="1:30" ht="36.75" customHeight="1" thickBot="1">
      <c r="A3" s="664" t="s">
        <v>6</v>
      </c>
      <c r="B3" s="664"/>
      <c r="C3" s="663" t="s">
        <v>7</v>
      </c>
      <c r="D3" s="663"/>
      <c r="E3" s="663"/>
      <c r="F3" s="663"/>
      <c r="G3" s="664" t="s">
        <v>8</v>
      </c>
      <c r="H3" s="664"/>
      <c r="I3" s="665">
        <v>43252</v>
      </c>
      <c r="J3" s="663"/>
      <c r="K3" s="663"/>
      <c r="L3" s="663"/>
      <c r="M3" s="663"/>
      <c r="N3" s="663"/>
      <c r="O3" s="664" t="s">
        <v>9</v>
      </c>
      <c r="P3" s="664"/>
      <c r="Q3" s="665">
        <v>45106</v>
      </c>
      <c r="R3" s="665"/>
      <c r="S3" s="665"/>
      <c r="T3" s="665"/>
      <c r="U3" s="665"/>
      <c r="V3" s="665"/>
      <c r="W3" s="664" t="s">
        <v>10</v>
      </c>
      <c r="X3" s="664"/>
      <c r="Y3" s="499" t="s">
        <v>11</v>
      </c>
      <c r="Z3" s="671"/>
      <c r="AA3" s="672"/>
      <c r="AB3" s="672"/>
      <c r="AC3" s="672"/>
      <c r="AD3" s="673"/>
    </row>
    <row r="4" spans="1:30" ht="33" customHeight="1" thickBot="1">
      <c r="A4" s="664" t="s">
        <v>12</v>
      </c>
      <c r="B4" s="664"/>
      <c r="C4" s="663" t="s">
        <v>13</v>
      </c>
      <c r="D4" s="663"/>
      <c r="E4" s="663"/>
      <c r="F4" s="663"/>
      <c r="G4" s="664" t="s">
        <v>14</v>
      </c>
      <c r="H4" s="664"/>
      <c r="I4" s="665">
        <v>43830</v>
      </c>
      <c r="J4" s="665"/>
      <c r="K4" s="665"/>
      <c r="L4" s="665"/>
      <c r="M4" s="665"/>
      <c r="N4" s="665"/>
      <c r="O4" s="664" t="s">
        <v>15</v>
      </c>
      <c r="P4" s="664"/>
      <c r="Q4" s="663" t="s">
        <v>16</v>
      </c>
      <c r="R4" s="663"/>
      <c r="S4" s="663"/>
      <c r="T4" s="664" t="s">
        <v>17</v>
      </c>
      <c r="U4" s="664"/>
      <c r="V4" s="663"/>
      <c r="W4" s="663"/>
      <c r="X4" s="663"/>
      <c r="Y4" s="663"/>
      <c r="Z4" s="674"/>
      <c r="AA4" s="675"/>
      <c r="AB4" s="675"/>
      <c r="AC4" s="675"/>
      <c r="AD4" s="676"/>
    </row>
    <row r="5" spans="1:30" ht="15.75" thickBot="1">
      <c r="A5" s="500" t="s">
        <v>18</v>
      </c>
      <c r="B5" s="500"/>
      <c r="C5" s="500"/>
      <c r="D5" s="500"/>
      <c r="E5" s="500"/>
      <c r="F5" s="500"/>
      <c r="G5" s="500"/>
      <c r="H5" s="500"/>
      <c r="I5" s="500"/>
      <c r="J5" s="500"/>
      <c r="K5" s="500"/>
      <c r="L5" s="500"/>
      <c r="M5" s="500"/>
      <c r="N5" s="500"/>
      <c r="O5" s="501" t="s">
        <v>19</v>
      </c>
      <c r="P5" s="501"/>
      <c r="Q5" s="501"/>
      <c r="R5" s="501"/>
      <c r="S5" s="501"/>
      <c r="T5" s="501"/>
      <c r="U5" s="501"/>
      <c r="V5" s="501"/>
      <c r="W5" s="501"/>
      <c r="X5" s="501"/>
      <c r="Y5" s="501"/>
      <c r="Z5" s="502" t="s">
        <v>20</v>
      </c>
      <c r="AA5" s="502"/>
      <c r="AB5" s="502"/>
      <c r="AC5" s="502"/>
      <c r="AD5" s="502"/>
    </row>
    <row r="6" spans="1:30" ht="114.75" thickBot="1">
      <c r="A6" s="457" t="s">
        <v>21</v>
      </c>
      <c r="B6" s="457" t="s">
        <v>22</v>
      </c>
      <c r="C6" s="457" t="s">
        <v>23</v>
      </c>
      <c r="D6" s="457" t="s">
        <v>24</v>
      </c>
      <c r="E6" s="457" t="s">
        <v>25</v>
      </c>
      <c r="F6" s="457" t="s">
        <v>26</v>
      </c>
      <c r="G6" s="457" t="s">
        <v>27</v>
      </c>
      <c r="H6" s="457" t="s">
        <v>28</v>
      </c>
      <c r="I6" s="457" t="s">
        <v>29</v>
      </c>
      <c r="J6" s="457" t="s">
        <v>30</v>
      </c>
      <c r="K6" s="457" t="s">
        <v>31</v>
      </c>
      <c r="L6" s="457" t="s">
        <v>32</v>
      </c>
      <c r="M6" s="457" t="s">
        <v>33</v>
      </c>
      <c r="N6" s="457" t="s">
        <v>34</v>
      </c>
      <c r="O6" s="458" t="s">
        <v>35</v>
      </c>
      <c r="P6" s="458" t="s">
        <v>36</v>
      </c>
      <c r="Q6" s="458" t="s">
        <v>37</v>
      </c>
      <c r="R6" s="458" t="s">
        <v>38</v>
      </c>
      <c r="S6" s="458" t="s">
        <v>39</v>
      </c>
      <c r="T6" s="458" t="s">
        <v>40</v>
      </c>
      <c r="U6" s="458" t="s">
        <v>41</v>
      </c>
      <c r="V6" s="458" t="s">
        <v>42</v>
      </c>
      <c r="W6" s="458" t="s">
        <v>43</v>
      </c>
      <c r="X6" s="458" t="s">
        <v>44</v>
      </c>
      <c r="Y6" s="458" t="s">
        <v>45</v>
      </c>
      <c r="Z6" s="459" t="s">
        <v>46</v>
      </c>
      <c r="AA6" s="459" t="s">
        <v>47</v>
      </c>
      <c r="AB6" s="459" t="s">
        <v>48</v>
      </c>
      <c r="AC6" s="459" t="s">
        <v>49</v>
      </c>
      <c r="AD6" s="459" t="s">
        <v>50</v>
      </c>
    </row>
    <row r="7" spans="1:30" ht="275.25">
      <c r="A7" s="272" t="s">
        <v>51</v>
      </c>
      <c r="B7" s="272" t="s">
        <v>52</v>
      </c>
      <c r="C7" s="272" t="s">
        <v>53</v>
      </c>
      <c r="D7" s="272" t="s">
        <v>54</v>
      </c>
      <c r="E7" s="272" t="s">
        <v>55</v>
      </c>
      <c r="F7" s="272" t="s">
        <v>56</v>
      </c>
      <c r="G7" s="272" t="s">
        <v>57</v>
      </c>
      <c r="H7" s="272">
        <v>1</v>
      </c>
      <c r="I7" s="258" t="s">
        <v>58</v>
      </c>
      <c r="J7" s="272" t="s">
        <v>59</v>
      </c>
      <c r="K7" s="272" t="s">
        <v>60</v>
      </c>
      <c r="L7" s="272" t="s">
        <v>57</v>
      </c>
      <c r="M7" s="512">
        <v>43252</v>
      </c>
      <c r="N7" s="512">
        <v>43830</v>
      </c>
      <c r="O7" s="503">
        <f t="shared" ref="O7:O25" si="0">(+N7-M7)/7</f>
        <v>82.571428571428569</v>
      </c>
      <c r="P7" s="259">
        <v>45106</v>
      </c>
      <c r="Q7" s="512" t="s">
        <v>61</v>
      </c>
      <c r="R7" s="504">
        <f t="shared" ref="R7:R25" si="1">(P7-M7)/7-O7</f>
        <v>182.28571428571428</v>
      </c>
      <c r="S7" s="505" t="str">
        <f t="shared" ref="S7:S25" ca="1" si="2">IF((N7-TODAY())/7&gt;=0,"En tiempo","Alerta")</f>
        <v>Alerta</v>
      </c>
      <c r="T7" s="524">
        <v>0.5</v>
      </c>
      <c r="U7" s="161">
        <f t="shared" ref="U7:U25" si="3">IF(T7/H7=1,1,+T7/H7)</f>
        <v>0.5</v>
      </c>
      <c r="V7" s="507">
        <f t="shared" ref="V7:V25" si="4">IF(R7&gt;O7,0%,IF(R7&lt;=0,"100%",1-(R7/O7)))</f>
        <v>0</v>
      </c>
      <c r="W7" s="508" t="str">
        <f t="shared" ref="W7:W25" si="5">IF(P7&lt;=N7,"Cumple","Incumple")</f>
        <v>Incumple</v>
      </c>
      <c r="X7" s="269" t="s">
        <v>62</v>
      </c>
      <c r="Y7" s="573" t="s">
        <v>63</v>
      </c>
      <c r="Z7" s="258">
        <f t="shared" ref="Z7:Z25" si="6">(U7+V7)/2</f>
        <v>0.25</v>
      </c>
      <c r="AA7" s="258"/>
      <c r="AB7" s="258"/>
      <c r="AC7" s="258">
        <f t="shared" ref="AC7:AC25" si="7">AVERAGE(Z7:AB7)</f>
        <v>0.25</v>
      </c>
      <c r="AD7" s="258"/>
    </row>
    <row r="8" spans="1:30" ht="129" hidden="1" thickBot="1">
      <c r="A8" s="272" t="s">
        <v>51</v>
      </c>
      <c r="B8" s="272" t="s">
        <v>52</v>
      </c>
      <c r="C8" s="272" t="s">
        <v>64</v>
      </c>
      <c r="D8" s="272" t="s">
        <v>54</v>
      </c>
      <c r="E8" s="272" t="s">
        <v>55</v>
      </c>
      <c r="F8" s="272" t="s">
        <v>65</v>
      </c>
      <c r="G8" s="272" t="s">
        <v>66</v>
      </c>
      <c r="H8" s="272">
        <v>2</v>
      </c>
      <c r="I8" s="258" t="s">
        <v>58</v>
      </c>
      <c r="J8" s="272" t="s">
        <v>59</v>
      </c>
      <c r="K8" s="272" t="s">
        <v>60</v>
      </c>
      <c r="L8" s="272" t="s">
        <v>66</v>
      </c>
      <c r="M8" s="512">
        <v>43252</v>
      </c>
      <c r="N8" s="512">
        <v>43830</v>
      </c>
      <c r="O8" s="503">
        <f t="shared" si="0"/>
        <v>82.571428571428569</v>
      </c>
      <c r="P8" s="512">
        <v>43369</v>
      </c>
      <c r="Q8" s="512">
        <v>43369</v>
      </c>
      <c r="R8" s="504">
        <f t="shared" si="1"/>
        <v>-65.857142857142861</v>
      </c>
      <c r="S8" s="505" t="str">
        <f t="shared" ca="1" si="2"/>
        <v>Alerta</v>
      </c>
      <c r="T8" s="503">
        <v>2</v>
      </c>
      <c r="U8" s="161">
        <f t="shared" si="3"/>
        <v>1</v>
      </c>
      <c r="V8" s="507" t="str">
        <f t="shared" si="4"/>
        <v>100%</v>
      </c>
      <c r="W8" s="508" t="str">
        <f t="shared" si="5"/>
        <v>Cumple</v>
      </c>
      <c r="X8" s="258"/>
      <c r="Y8" s="258" t="s">
        <v>67</v>
      </c>
      <c r="Z8" s="258">
        <f t="shared" si="6"/>
        <v>1</v>
      </c>
      <c r="AA8" s="258"/>
      <c r="AB8" s="258"/>
      <c r="AC8" s="258">
        <f t="shared" si="7"/>
        <v>1</v>
      </c>
      <c r="AD8" s="258"/>
    </row>
    <row r="9" spans="1:30" ht="303.75">
      <c r="A9" s="272" t="s">
        <v>51</v>
      </c>
      <c r="B9" s="272" t="s">
        <v>52</v>
      </c>
      <c r="C9" s="272" t="s">
        <v>68</v>
      </c>
      <c r="D9" s="272" t="s">
        <v>54</v>
      </c>
      <c r="E9" s="272" t="s">
        <v>55</v>
      </c>
      <c r="F9" s="272" t="s">
        <v>69</v>
      </c>
      <c r="G9" s="272" t="s">
        <v>57</v>
      </c>
      <c r="H9" s="272">
        <v>1</v>
      </c>
      <c r="I9" s="258" t="s">
        <v>58</v>
      </c>
      <c r="J9" s="272" t="s">
        <v>59</v>
      </c>
      <c r="K9" s="272" t="s">
        <v>60</v>
      </c>
      <c r="L9" s="272" t="s">
        <v>57</v>
      </c>
      <c r="M9" s="512">
        <v>43252</v>
      </c>
      <c r="N9" s="512">
        <v>43830</v>
      </c>
      <c r="O9" s="503">
        <f t="shared" si="0"/>
        <v>82.571428571428569</v>
      </c>
      <c r="P9" s="259">
        <v>45106</v>
      </c>
      <c r="Q9" s="512" t="s">
        <v>61</v>
      </c>
      <c r="R9" s="504">
        <f t="shared" si="1"/>
        <v>182.28571428571428</v>
      </c>
      <c r="S9" s="505" t="str">
        <f t="shared" ca="1" si="2"/>
        <v>Alerta</v>
      </c>
      <c r="T9" s="524">
        <v>0.8</v>
      </c>
      <c r="U9" s="161">
        <f t="shared" si="3"/>
        <v>0.8</v>
      </c>
      <c r="V9" s="507">
        <f t="shared" si="4"/>
        <v>0</v>
      </c>
      <c r="W9" s="508" t="str">
        <f t="shared" si="5"/>
        <v>Incumple</v>
      </c>
      <c r="X9" s="269" t="s">
        <v>70</v>
      </c>
      <c r="Y9" s="573" t="s">
        <v>71</v>
      </c>
      <c r="Z9" s="258">
        <f t="shared" si="6"/>
        <v>0.4</v>
      </c>
      <c r="AA9" s="258"/>
      <c r="AB9" s="258"/>
      <c r="AC9" s="258">
        <f t="shared" si="7"/>
        <v>0.4</v>
      </c>
      <c r="AD9" s="258"/>
    </row>
    <row r="10" spans="1:30" ht="405">
      <c r="A10" s="272" t="s">
        <v>51</v>
      </c>
      <c r="B10" s="272" t="s">
        <v>52</v>
      </c>
      <c r="C10" s="272" t="s">
        <v>72</v>
      </c>
      <c r="D10" s="272" t="s">
        <v>73</v>
      </c>
      <c r="E10" s="272" t="s">
        <v>74</v>
      </c>
      <c r="F10" s="272" t="s">
        <v>75</v>
      </c>
      <c r="G10" s="272" t="s">
        <v>76</v>
      </c>
      <c r="H10" s="272">
        <v>1</v>
      </c>
      <c r="I10" s="258" t="s">
        <v>58</v>
      </c>
      <c r="J10" s="272" t="s">
        <v>59</v>
      </c>
      <c r="K10" s="272" t="s">
        <v>60</v>
      </c>
      <c r="L10" s="272" t="s">
        <v>76</v>
      </c>
      <c r="M10" s="512">
        <v>43252</v>
      </c>
      <c r="N10" s="512">
        <v>43830</v>
      </c>
      <c r="O10" s="503">
        <f t="shared" si="0"/>
        <v>82.571428571428569</v>
      </c>
      <c r="P10" s="259">
        <v>45106</v>
      </c>
      <c r="Q10" s="512">
        <v>43369</v>
      </c>
      <c r="R10" s="504">
        <f t="shared" si="1"/>
        <v>182.28571428571428</v>
      </c>
      <c r="S10" s="505" t="str">
        <f t="shared" ca="1" si="2"/>
        <v>Alerta</v>
      </c>
      <c r="T10" s="503">
        <v>0.9</v>
      </c>
      <c r="U10" s="161">
        <f t="shared" si="3"/>
        <v>0.9</v>
      </c>
      <c r="V10" s="507">
        <f t="shared" si="4"/>
        <v>0</v>
      </c>
      <c r="W10" s="508" t="str">
        <f t="shared" si="5"/>
        <v>Incumple</v>
      </c>
      <c r="X10" s="269"/>
      <c r="Y10" s="573" t="s">
        <v>77</v>
      </c>
      <c r="Z10" s="258">
        <f t="shared" si="6"/>
        <v>0.45</v>
      </c>
      <c r="AA10" s="258"/>
      <c r="AB10" s="258"/>
      <c r="AC10" s="258">
        <f t="shared" si="7"/>
        <v>0.45</v>
      </c>
      <c r="AD10" s="258"/>
    </row>
    <row r="11" spans="1:30" ht="100.5" hidden="1" thickBot="1">
      <c r="A11" s="272" t="s">
        <v>51</v>
      </c>
      <c r="B11" s="272" t="s">
        <v>52</v>
      </c>
      <c r="C11" s="272" t="s">
        <v>72</v>
      </c>
      <c r="D11" s="272" t="s">
        <v>73</v>
      </c>
      <c r="E11" s="272" t="s">
        <v>74</v>
      </c>
      <c r="F11" s="272" t="s">
        <v>75</v>
      </c>
      <c r="G11" s="272" t="s">
        <v>78</v>
      </c>
      <c r="H11" s="272">
        <v>1</v>
      </c>
      <c r="I11" s="258" t="s">
        <v>58</v>
      </c>
      <c r="J11" s="272" t="s">
        <v>59</v>
      </c>
      <c r="K11" s="272" t="s">
        <v>60</v>
      </c>
      <c r="L11" s="272" t="s">
        <v>78</v>
      </c>
      <c r="M11" s="512">
        <v>43252</v>
      </c>
      <c r="N11" s="512">
        <v>43830</v>
      </c>
      <c r="O11" s="503">
        <f t="shared" si="0"/>
        <v>82.571428571428569</v>
      </c>
      <c r="P11" s="259">
        <v>44916</v>
      </c>
      <c r="Q11" s="512">
        <v>43369</v>
      </c>
      <c r="R11" s="504">
        <f t="shared" si="1"/>
        <v>155.14285714285717</v>
      </c>
      <c r="S11" s="505" t="str">
        <f t="shared" ca="1" si="2"/>
        <v>Alerta</v>
      </c>
      <c r="T11" s="503">
        <v>1</v>
      </c>
      <c r="U11" s="161">
        <f t="shared" si="3"/>
        <v>1</v>
      </c>
      <c r="V11" s="507">
        <f t="shared" si="4"/>
        <v>0</v>
      </c>
      <c r="W11" s="508" t="str">
        <f t="shared" si="5"/>
        <v>Incumple</v>
      </c>
      <c r="X11" s="258"/>
      <c r="Y11" s="258" t="s">
        <v>79</v>
      </c>
      <c r="Z11" s="258">
        <f t="shared" si="6"/>
        <v>0.5</v>
      </c>
      <c r="AA11" s="258"/>
      <c r="AB11" s="258"/>
      <c r="AC11" s="258">
        <f t="shared" si="7"/>
        <v>0.5</v>
      </c>
      <c r="AD11" s="258"/>
    </row>
    <row r="12" spans="1:30" ht="201.75">
      <c r="A12" s="272" t="s">
        <v>51</v>
      </c>
      <c r="B12" s="272" t="s">
        <v>52</v>
      </c>
      <c r="C12" s="272" t="s">
        <v>72</v>
      </c>
      <c r="D12" s="272" t="s">
        <v>73</v>
      </c>
      <c r="E12" s="272" t="s">
        <v>74</v>
      </c>
      <c r="F12" s="272" t="s">
        <v>75</v>
      </c>
      <c r="G12" s="272" t="s">
        <v>80</v>
      </c>
      <c r="H12" s="272">
        <v>1</v>
      </c>
      <c r="I12" s="258" t="s">
        <v>58</v>
      </c>
      <c r="J12" s="272" t="s">
        <v>59</v>
      </c>
      <c r="K12" s="272" t="s">
        <v>60</v>
      </c>
      <c r="L12" s="272" t="s">
        <v>80</v>
      </c>
      <c r="M12" s="512">
        <v>43252</v>
      </c>
      <c r="N12" s="512">
        <v>43830</v>
      </c>
      <c r="O12" s="503">
        <f t="shared" si="0"/>
        <v>82.571428571428569</v>
      </c>
      <c r="P12" s="259">
        <v>45106</v>
      </c>
      <c r="Q12" s="512" t="s">
        <v>61</v>
      </c>
      <c r="R12" s="504">
        <f t="shared" si="1"/>
        <v>182.28571428571428</v>
      </c>
      <c r="S12" s="505" t="str">
        <f t="shared" ca="1" si="2"/>
        <v>Alerta</v>
      </c>
      <c r="T12" s="503">
        <v>0.4</v>
      </c>
      <c r="U12" s="161">
        <f t="shared" si="3"/>
        <v>0.4</v>
      </c>
      <c r="V12" s="507">
        <f t="shared" si="4"/>
        <v>0</v>
      </c>
      <c r="W12" s="508" t="str">
        <f t="shared" si="5"/>
        <v>Incumple</v>
      </c>
      <c r="X12" s="269" t="s">
        <v>81</v>
      </c>
      <c r="Y12" s="573" t="s">
        <v>82</v>
      </c>
      <c r="Z12" s="258">
        <f t="shared" si="6"/>
        <v>0.2</v>
      </c>
      <c r="AA12" s="258"/>
      <c r="AB12" s="258"/>
      <c r="AC12" s="258">
        <f t="shared" si="7"/>
        <v>0.2</v>
      </c>
      <c r="AD12" s="258"/>
    </row>
    <row r="13" spans="1:30" ht="143.25" hidden="1" thickBot="1">
      <c r="A13" s="272" t="s">
        <v>51</v>
      </c>
      <c r="B13" s="272" t="s">
        <v>52</v>
      </c>
      <c r="C13" s="272" t="s">
        <v>83</v>
      </c>
      <c r="D13" s="272" t="s">
        <v>84</v>
      </c>
      <c r="E13" s="272" t="s">
        <v>85</v>
      </c>
      <c r="F13" s="272" t="s">
        <v>86</v>
      </c>
      <c r="G13" s="272" t="s">
        <v>87</v>
      </c>
      <c r="H13" s="272">
        <v>1</v>
      </c>
      <c r="I13" s="258" t="s">
        <v>58</v>
      </c>
      <c r="J13" s="272" t="s">
        <v>59</v>
      </c>
      <c r="K13" s="272" t="s">
        <v>60</v>
      </c>
      <c r="L13" s="272" t="s">
        <v>87</v>
      </c>
      <c r="M13" s="512">
        <v>43252</v>
      </c>
      <c r="N13" s="512">
        <v>43830</v>
      </c>
      <c r="O13" s="503">
        <f t="shared" si="0"/>
        <v>82.571428571428569</v>
      </c>
      <c r="P13" s="512">
        <v>43369</v>
      </c>
      <c r="Q13" s="512">
        <v>43369</v>
      </c>
      <c r="R13" s="504">
        <f t="shared" si="1"/>
        <v>-65.857142857142861</v>
      </c>
      <c r="S13" s="505" t="str">
        <f t="shared" ca="1" si="2"/>
        <v>Alerta</v>
      </c>
      <c r="T13" s="503">
        <v>1</v>
      </c>
      <c r="U13" s="161">
        <f t="shared" si="3"/>
        <v>1</v>
      </c>
      <c r="V13" s="507" t="str">
        <f t="shared" si="4"/>
        <v>100%</v>
      </c>
      <c r="W13" s="508" t="str">
        <f t="shared" si="5"/>
        <v>Cumple</v>
      </c>
      <c r="X13" s="258"/>
      <c r="Y13" s="258" t="s">
        <v>88</v>
      </c>
      <c r="Z13" s="258">
        <f t="shared" si="6"/>
        <v>1</v>
      </c>
      <c r="AA13" s="258"/>
      <c r="AB13" s="258"/>
      <c r="AC13" s="258">
        <f t="shared" si="7"/>
        <v>1</v>
      </c>
      <c r="AD13" s="258"/>
    </row>
    <row r="14" spans="1:30" ht="100.5" hidden="1" thickBot="1">
      <c r="A14" s="272" t="s">
        <v>51</v>
      </c>
      <c r="B14" s="272" t="s">
        <v>52</v>
      </c>
      <c r="C14" s="272" t="s">
        <v>89</v>
      </c>
      <c r="D14" s="272" t="s">
        <v>90</v>
      </c>
      <c r="E14" s="272" t="s">
        <v>91</v>
      </c>
      <c r="F14" s="272" t="s">
        <v>92</v>
      </c>
      <c r="G14" s="272" t="s">
        <v>93</v>
      </c>
      <c r="H14" s="272">
        <v>9</v>
      </c>
      <c r="I14" s="258" t="s">
        <v>58</v>
      </c>
      <c r="J14" s="272" t="s">
        <v>59</v>
      </c>
      <c r="K14" s="272" t="s">
        <v>60</v>
      </c>
      <c r="L14" s="272" t="s">
        <v>93</v>
      </c>
      <c r="M14" s="512">
        <v>43252</v>
      </c>
      <c r="N14" s="512">
        <v>43830</v>
      </c>
      <c r="O14" s="503">
        <f t="shared" si="0"/>
        <v>82.571428571428569</v>
      </c>
      <c r="P14" s="259">
        <v>44749</v>
      </c>
      <c r="Q14" s="512" t="s">
        <v>61</v>
      </c>
      <c r="R14" s="504">
        <f t="shared" si="1"/>
        <v>131.28571428571428</v>
      </c>
      <c r="S14" s="505" t="str">
        <f t="shared" ca="1" si="2"/>
        <v>Alerta</v>
      </c>
      <c r="T14" s="503">
        <v>9</v>
      </c>
      <c r="U14" s="161">
        <f t="shared" si="3"/>
        <v>1</v>
      </c>
      <c r="V14" s="507">
        <f t="shared" si="4"/>
        <v>0</v>
      </c>
      <c r="W14" s="508" t="str">
        <f t="shared" si="5"/>
        <v>Incumple</v>
      </c>
      <c r="X14" s="258"/>
      <c r="Y14" s="258" t="s">
        <v>94</v>
      </c>
      <c r="Z14" s="258">
        <f t="shared" si="6"/>
        <v>0.5</v>
      </c>
      <c r="AA14" s="258"/>
      <c r="AB14" s="258"/>
      <c r="AC14" s="258">
        <f t="shared" si="7"/>
        <v>0.5</v>
      </c>
      <c r="AD14" s="258"/>
    </row>
    <row r="15" spans="1:30" ht="72" hidden="1" thickBot="1">
      <c r="A15" s="272" t="s">
        <v>51</v>
      </c>
      <c r="B15" s="272" t="s">
        <v>52</v>
      </c>
      <c r="C15" s="272" t="s">
        <v>89</v>
      </c>
      <c r="D15" s="272" t="s">
        <v>90</v>
      </c>
      <c r="E15" s="272" t="s">
        <v>95</v>
      </c>
      <c r="F15" s="272" t="s">
        <v>96</v>
      </c>
      <c r="G15" s="272" t="s">
        <v>97</v>
      </c>
      <c r="H15" s="272">
        <v>1</v>
      </c>
      <c r="I15" s="258" t="s">
        <v>58</v>
      </c>
      <c r="J15" s="272" t="s">
        <v>59</v>
      </c>
      <c r="K15" s="272" t="s">
        <v>60</v>
      </c>
      <c r="L15" s="272" t="s">
        <v>97</v>
      </c>
      <c r="M15" s="512">
        <v>43252</v>
      </c>
      <c r="N15" s="512">
        <v>43830</v>
      </c>
      <c r="O15" s="503">
        <f t="shared" si="0"/>
        <v>82.571428571428569</v>
      </c>
      <c r="P15" s="512">
        <v>43369</v>
      </c>
      <c r="Q15" s="512">
        <v>43369</v>
      </c>
      <c r="R15" s="504">
        <f t="shared" si="1"/>
        <v>-65.857142857142861</v>
      </c>
      <c r="S15" s="505" t="str">
        <f t="shared" ca="1" si="2"/>
        <v>Alerta</v>
      </c>
      <c r="T15" s="503">
        <v>1</v>
      </c>
      <c r="U15" s="161">
        <f t="shared" si="3"/>
        <v>1</v>
      </c>
      <c r="V15" s="507" t="str">
        <f t="shared" si="4"/>
        <v>100%</v>
      </c>
      <c r="W15" s="508" t="str">
        <f t="shared" si="5"/>
        <v>Cumple</v>
      </c>
      <c r="X15" s="258"/>
      <c r="Y15" s="258" t="s">
        <v>98</v>
      </c>
      <c r="Z15" s="258">
        <f t="shared" si="6"/>
        <v>1</v>
      </c>
      <c r="AA15" s="258"/>
      <c r="AB15" s="258"/>
      <c r="AC15" s="258">
        <f t="shared" si="7"/>
        <v>1</v>
      </c>
      <c r="AD15" s="258"/>
    </row>
    <row r="16" spans="1:30" ht="216.75">
      <c r="A16" s="272" t="s">
        <v>51</v>
      </c>
      <c r="B16" s="272" t="s">
        <v>52</v>
      </c>
      <c r="C16" s="272" t="s">
        <v>89</v>
      </c>
      <c r="D16" s="272" t="s">
        <v>90</v>
      </c>
      <c r="E16" s="272" t="s">
        <v>99</v>
      </c>
      <c r="F16" s="272" t="s">
        <v>100</v>
      </c>
      <c r="G16" s="272" t="s">
        <v>101</v>
      </c>
      <c r="H16" s="272">
        <v>1</v>
      </c>
      <c r="I16" s="258" t="s">
        <v>58</v>
      </c>
      <c r="J16" s="272" t="s">
        <v>59</v>
      </c>
      <c r="K16" s="272" t="s">
        <v>60</v>
      </c>
      <c r="L16" s="272" t="s">
        <v>101</v>
      </c>
      <c r="M16" s="512">
        <v>43252</v>
      </c>
      <c r="N16" s="512">
        <v>43830</v>
      </c>
      <c r="O16" s="503">
        <f t="shared" si="0"/>
        <v>82.571428571428569</v>
      </c>
      <c r="P16" s="259">
        <v>45106</v>
      </c>
      <c r="Q16" s="512" t="s">
        <v>61</v>
      </c>
      <c r="R16" s="504">
        <f t="shared" si="1"/>
        <v>182.28571428571428</v>
      </c>
      <c r="S16" s="505" t="str">
        <f t="shared" ca="1" si="2"/>
        <v>Alerta</v>
      </c>
      <c r="T16" s="503">
        <v>0</v>
      </c>
      <c r="U16" s="161">
        <f t="shared" si="3"/>
        <v>0</v>
      </c>
      <c r="V16" s="507">
        <f t="shared" si="4"/>
        <v>0</v>
      </c>
      <c r="W16" s="508" t="str">
        <f t="shared" si="5"/>
        <v>Incumple</v>
      </c>
      <c r="X16" s="269"/>
      <c r="Y16" s="573" t="s">
        <v>102</v>
      </c>
      <c r="Z16" s="258">
        <f t="shared" si="6"/>
        <v>0</v>
      </c>
      <c r="AA16" s="258"/>
      <c r="AB16" s="258"/>
      <c r="AC16" s="258">
        <f t="shared" si="7"/>
        <v>0</v>
      </c>
      <c r="AD16" s="258"/>
    </row>
    <row r="17" spans="1:32" ht="157.5" hidden="1" thickBot="1">
      <c r="A17" s="272" t="s">
        <v>51</v>
      </c>
      <c r="B17" s="272" t="s">
        <v>52</v>
      </c>
      <c r="C17" s="272" t="s">
        <v>103</v>
      </c>
      <c r="D17" s="272" t="s">
        <v>104</v>
      </c>
      <c r="E17" s="272" t="s">
        <v>105</v>
      </c>
      <c r="F17" s="272" t="s">
        <v>106</v>
      </c>
      <c r="G17" s="272" t="s">
        <v>107</v>
      </c>
      <c r="H17" s="272">
        <v>1</v>
      </c>
      <c r="I17" s="258" t="s">
        <v>58</v>
      </c>
      <c r="J17" s="272" t="s">
        <v>59</v>
      </c>
      <c r="K17" s="272" t="s">
        <v>60</v>
      </c>
      <c r="L17" s="272" t="s">
        <v>107</v>
      </c>
      <c r="M17" s="512">
        <v>43252</v>
      </c>
      <c r="N17" s="512">
        <v>43830</v>
      </c>
      <c r="O17" s="503">
        <f t="shared" si="0"/>
        <v>82.571428571428569</v>
      </c>
      <c r="P17" s="512">
        <v>43784</v>
      </c>
      <c r="Q17" s="512">
        <v>43784</v>
      </c>
      <c r="R17" s="504">
        <f t="shared" si="1"/>
        <v>-6.5714285714285694</v>
      </c>
      <c r="S17" s="505" t="str">
        <f t="shared" ca="1" si="2"/>
        <v>Alerta</v>
      </c>
      <c r="T17" s="503">
        <v>1</v>
      </c>
      <c r="U17" s="161">
        <f t="shared" si="3"/>
        <v>1</v>
      </c>
      <c r="V17" s="507" t="str">
        <f t="shared" si="4"/>
        <v>100%</v>
      </c>
      <c r="W17" s="508" t="str">
        <f t="shared" si="5"/>
        <v>Cumple</v>
      </c>
      <c r="X17" s="258"/>
      <c r="Y17" s="258" t="s">
        <v>108</v>
      </c>
      <c r="Z17" s="258">
        <f t="shared" si="6"/>
        <v>1</v>
      </c>
      <c r="AA17" s="258"/>
      <c r="AB17" s="258"/>
      <c r="AC17" s="258">
        <f t="shared" si="7"/>
        <v>1</v>
      </c>
      <c r="AD17" s="258"/>
    </row>
    <row r="18" spans="1:32" ht="57.75" hidden="1" thickBot="1">
      <c r="A18" s="272" t="s">
        <v>51</v>
      </c>
      <c r="B18" s="272" t="s">
        <v>52</v>
      </c>
      <c r="C18" s="272" t="s">
        <v>109</v>
      </c>
      <c r="D18" s="272" t="s">
        <v>110</v>
      </c>
      <c r="E18" s="272" t="s">
        <v>111</v>
      </c>
      <c r="F18" s="272" t="s">
        <v>112</v>
      </c>
      <c r="G18" s="272" t="s">
        <v>113</v>
      </c>
      <c r="H18" s="272">
        <v>1</v>
      </c>
      <c r="I18" s="258" t="s">
        <v>58</v>
      </c>
      <c r="J18" s="272" t="s">
        <v>59</v>
      </c>
      <c r="K18" s="272" t="s">
        <v>60</v>
      </c>
      <c r="L18" s="272" t="s">
        <v>113</v>
      </c>
      <c r="M18" s="512">
        <v>43252</v>
      </c>
      <c r="N18" s="512">
        <v>43830</v>
      </c>
      <c r="O18" s="503">
        <f t="shared" si="0"/>
        <v>82.571428571428569</v>
      </c>
      <c r="P18" s="512">
        <v>43369</v>
      </c>
      <c r="Q18" s="512">
        <v>43369</v>
      </c>
      <c r="R18" s="504">
        <f t="shared" si="1"/>
        <v>-65.857142857142861</v>
      </c>
      <c r="S18" s="505" t="str">
        <f t="shared" ca="1" si="2"/>
        <v>Alerta</v>
      </c>
      <c r="T18" s="503">
        <v>1</v>
      </c>
      <c r="U18" s="161">
        <f t="shared" si="3"/>
        <v>1</v>
      </c>
      <c r="V18" s="507" t="str">
        <f t="shared" si="4"/>
        <v>100%</v>
      </c>
      <c r="W18" s="508" t="str">
        <f t="shared" si="5"/>
        <v>Cumple</v>
      </c>
      <c r="X18" s="258"/>
      <c r="Y18" s="258" t="s">
        <v>114</v>
      </c>
      <c r="Z18" s="258">
        <f t="shared" si="6"/>
        <v>1</v>
      </c>
      <c r="AA18" s="258"/>
      <c r="AB18" s="258"/>
      <c r="AC18" s="258">
        <f t="shared" si="7"/>
        <v>1</v>
      </c>
      <c r="AD18" s="258"/>
    </row>
    <row r="19" spans="1:32" ht="143.25" hidden="1" thickBot="1">
      <c r="A19" s="272" t="s">
        <v>51</v>
      </c>
      <c r="B19" s="272" t="s">
        <v>52</v>
      </c>
      <c r="C19" s="272" t="s">
        <v>115</v>
      </c>
      <c r="D19" s="272" t="s">
        <v>116</v>
      </c>
      <c r="E19" s="272" t="s">
        <v>117</v>
      </c>
      <c r="F19" s="272" t="s">
        <v>118</v>
      </c>
      <c r="G19" s="272" t="s">
        <v>119</v>
      </c>
      <c r="H19" s="272">
        <v>1</v>
      </c>
      <c r="I19" s="258" t="s">
        <v>58</v>
      </c>
      <c r="J19" s="272" t="s">
        <v>59</v>
      </c>
      <c r="K19" s="272" t="s">
        <v>60</v>
      </c>
      <c r="L19" s="272" t="s">
        <v>119</v>
      </c>
      <c r="M19" s="512">
        <v>43252</v>
      </c>
      <c r="N19" s="512">
        <v>43830</v>
      </c>
      <c r="O19" s="503">
        <f t="shared" si="0"/>
        <v>82.571428571428569</v>
      </c>
      <c r="P19" s="259">
        <v>44754</v>
      </c>
      <c r="Q19" s="512" t="s">
        <v>61</v>
      </c>
      <c r="R19" s="504">
        <f t="shared" si="1"/>
        <v>132</v>
      </c>
      <c r="S19" s="505" t="str">
        <f t="shared" ca="1" si="2"/>
        <v>Alerta</v>
      </c>
      <c r="T19" s="503">
        <v>1</v>
      </c>
      <c r="U19" s="161">
        <f t="shared" si="3"/>
        <v>1</v>
      </c>
      <c r="V19" s="507">
        <f t="shared" si="4"/>
        <v>0</v>
      </c>
      <c r="W19" s="508" t="str">
        <f t="shared" si="5"/>
        <v>Incumple</v>
      </c>
      <c r="X19" s="258"/>
      <c r="Y19" s="258" t="s">
        <v>120</v>
      </c>
      <c r="Z19" s="258">
        <f t="shared" si="6"/>
        <v>0.5</v>
      </c>
      <c r="AA19" s="258"/>
      <c r="AB19" s="258"/>
      <c r="AC19" s="258">
        <f t="shared" si="7"/>
        <v>0.5</v>
      </c>
      <c r="AD19" s="258"/>
    </row>
    <row r="20" spans="1:32" ht="361.5">
      <c r="A20" s="272" t="s">
        <v>51</v>
      </c>
      <c r="B20" s="272" t="s">
        <v>52</v>
      </c>
      <c r="C20" s="272" t="s">
        <v>121</v>
      </c>
      <c r="D20" s="272" t="s">
        <v>122</v>
      </c>
      <c r="E20" s="272" t="s">
        <v>123</v>
      </c>
      <c r="F20" s="272" t="s">
        <v>124</v>
      </c>
      <c r="G20" s="272" t="s">
        <v>125</v>
      </c>
      <c r="H20" s="272">
        <v>1</v>
      </c>
      <c r="I20" s="258" t="s">
        <v>58</v>
      </c>
      <c r="J20" s="272" t="s">
        <v>59</v>
      </c>
      <c r="K20" s="272" t="s">
        <v>60</v>
      </c>
      <c r="L20" s="272" t="s">
        <v>125</v>
      </c>
      <c r="M20" s="512">
        <v>43252</v>
      </c>
      <c r="N20" s="512">
        <v>43830</v>
      </c>
      <c r="O20" s="503">
        <f t="shared" si="0"/>
        <v>82.571428571428569</v>
      </c>
      <c r="P20" s="259">
        <v>45106</v>
      </c>
      <c r="Q20" s="512" t="s">
        <v>61</v>
      </c>
      <c r="R20" s="504">
        <f t="shared" si="1"/>
        <v>182.28571428571428</v>
      </c>
      <c r="S20" s="505" t="str">
        <f t="shared" ca="1" si="2"/>
        <v>Alerta</v>
      </c>
      <c r="T20" s="503">
        <v>0.45</v>
      </c>
      <c r="U20" s="161">
        <f t="shared" si="3"/>
        <v>0.45</v>
      </c>
      <c r="V20" s="507">
        <f t="shared" si="4"/>
        <v>0</v>
      </c>
      <c r="W20" s="508" t="str">
        <f t="shared" si="5"/>
        <v>Incumple</v>
      </c>
      <c r="X20" s="269"/>
      <c r="Y20" s="573" t="s">
        <v>126</v>
      </c>
      <c r="Z20" s="258">
        <f t="shared" si="6"/>
        <v>0.22500000000000001</v>
      </c>
      <c r="AA20" s="258"/>
      <c r="AB20" s="258"/>
      <c r="AC20" s="258">
        <f t="shared" si="7"/>
        <v>0.22500000000000001</v>
      </c>
      <c r="AD20" s="258"/>
    </row>
    <row r="21" spans="1:32" ht="201.75">
      <c r="A21" s="272" t="s">
        <v>51</v>
      </c>
      <c r="B21" s="272" t="s">
        <v>52</v>
      </c>
      <c r="C21" s="272" t="s">
        <v>127</v>
      </c>
      <c r="D21" s="272" t="s">
        <v>122</v>
      </c>
      <c r="E21" s="272" t="s">
        <v>128</v>
      </c>
      <c r="F21" s="272" t="s">
        <v>129</v>
      </c>
      <c r="G21" s="272" t="s">
        <v>107</v>
      </c>
      <c r="H21" s="272">
        <v>1</v>
      </c>
      <c r="I21" s="258" t="s">
        <v>58</v>
      </c>
      <c r="J21" s="272" t="s">
        <v>59</v>
      </c>
      <c r="K21" s="272" t="s">
        <v>60</v>
      </c>
      <c r="L21" s="272" t="s">
        <v>107</v>
      </c>
      <c r="M21" s="512">
        <v>43252</v>
      </c>
      <c r="N21" s="512">
        <v>43830</v>
      </c>
      <c r="O21" s="503">
        <f t="shared" si="0"/>
        <v>82.571428571428569</v>
      </c>
      <c r="P21" s="259">
        <v>45106</v>
      </c>
      <c r="Q21" s="512" t="s">
        <v>61</v>
      </c>
      <c r="R21" s="504">
        <f t="shared" si="1"/>
        <v>182.28571428571428</v>
      </c>
      <c r="S21" s="505" t="str">
        <f t="shared" ca="1" si="2"/>
        <v>Alerta</v>
      </c>
      <c r="T21" s="503">
        <v>0.4</v>
      </c>
      <c r="U21" s="161">
        <f t="shared" si="3"/>
        <v>0.4</v>
      </c>
      <c r="V21" s="507">
        <f t="shared" si="4"/>
        <v>0</v>
      </c>
      <c r="W21" s="508" t="str">
        <f t="shared" si="5"/>
        <v>Incumple</v>
      </c>
      <c r="X21" s="269" t="s">
        <v>81</v>
      </c>
      <c r="Y21" s="573" t="s">
        <v>82</v>
      </c>
      <c r="Z21" s="258">
        <f t="shared" si="6"/>
        <v>0.2</v>
      </c>
      <c r="AA21" s="258"/>
      <c r="AB21" s="258"/>
      <c r="AC21" s="258">
        <f t="shared" si="7"/>
        <v>0.2</v>
      </c>
      <c r="AD21" s="258"/>
    </row>
    <row r="22" spans="1:32" ht="114.75" hidden="1" thickBot="1">
      <c r="A22" s="272" t="s">
        <v>51</v>
      </c>
      <c r="B22" s="272" t="s">
        <v>52</v>
      </c>
      <c r="C22" s="272" t="s">
        <v>130</v>
      </c>
      <c r="D22" s="272" t="s">
        <v>122</v>
      </c>
      <c r="E22" s="272" t="s">
        <v>131</v>
      </c>
      <c r="F22" s="272" t="s">
        <v>132</v>
      </c>
      <c r="G22" s="272" t="s">
        <v>133</v>
      </c>
      <c r="H22" s="272">
        <v>1</v>
      </c>
      <c r="I22" s="258" t="s">
        <v>58</v>
      </c>
      <c r="J22" s="272" t="s">
        <v>59</v>
      </c>
      <c r="K22" s="272" t="s">
        <v>60</v>
      </c>
      <c r="L22" s="272" t="s">
        <v>133</v>
      </c>
      <c r="M22" s="512">
        <v>43252</v>
      </c>
      <c r="N22" s="512">
        <v>43830</v>
      </c>
      <c r="O22" s="503">
        <f t="shared" si="0"/>
        <v>82.571428571428569</v>
      </c>
      <c r="P22" s="259">
        <v>44757</v>
      </c>
      <c r="Q22" s="512" t="s">
        <v>61</v>
      </c>
      <c r="R22" s="504">
        <f t="shared" si="1"/>
        <v>132.42857142857144</v>
      </c>
      <c r="S22" s="505" t="str">
        <f t="shared" ca="1" si="2"/>
        <v>Alerta</v>
      </c>
      <c r="T22" s="503">
        <v>1</v>
      </c>
      <c r="U22" s="161">
        <f t="shared" si="3"/>
        <v>1</v>
      </c>
      <c r="V22" s="507">
        <f t="shared" si="4"/>
        <v>0</v>
      </c>
      <c r="W22" s="508" t="str">
        <f t="shared" si="5"/>
        <v>Incumple</v>
      </c>
      <c r="X22" s="258"/>
      <c r="Y22" s="258" t="s">
        <v>134</v>
      </c>
      <c r="Z22" s="258">
        <f t="shared" si="6"/>
        <v>0.5</v>
      </c>
      <c r="AA22" s="258"/>
      <c r="AB22" s="258"/>
      <c r="AC22" s="258">
        <f t="shared" si="7"/>
        <v>0.5</v>
      </c>
      <c r="AD22" s="258"/>
    </row>
    <row r="23" spans="1:32" ht="271.5" customHeight="1">
      <c r="A23" s="272" t="s">
        <v>51</v>
      </c>
      <c r="B23" s="272" t="s">
        <v>52</v>
      </c>
      <c r="C23" s="272" t="s">
        <v>135</v>
      </c>
      <c r="D23" s="272" t="s">
        <v>136</v>
      </c>
      <c r="E23" s="272" t="s">
        <v>137</v>
      </c>
      <c r="F23" s="272" t="s">
        <v>138</v>
      </c>
      <c r="G23" s="272" t="s">
        <v>139</v>
      </c>
      <c r="H23" s="272">
        <v>1</v>
      </c>
      <c r="I23" s="258" t="s">
        <v>58</v>
      </c>
      <c r="J23" s="272" t="s">
        <v>59</v>
      </c>
      <c r="K23" s="272" t="s">
        <v>60</v>
      </c>
      <c r="L23" s="272" t="s">
        <v>139</v>
      </c>
      <c r="M23" s="512">
        <v>43252</v>
      </c>
      <c r="N23" s="512">
        <v>43830</v>
      </c>
      <c r="O23" s="503">
        <f t="shared" si="0"/>
        <v>82.571428571428569</v>
      </c>
      <c r="P23" s="259">
        <v>45106</v>
      </c>
      <c r="Q23" s="512" t="s">
        <v>61</v>
      </c>
      <c r="R23" s="504">
        <f t="shared" si="1"/>
        <v>182.28571428571428</v>
      </c>
      <c r="S23" s="505" t="str">
        <f t="shared" ca="1" si="2"/>
        <v>Alerta</v>
      </c>
      <c r="T23" s="503">
        <v>0</v>
      </c>
      <c r="U23" s="161">
        <f t="shared" si="3"/>
        <v>0</v>
      </c>
      <c r="V23" s="507">
        <f t="shared" si="4"/>
        <v>0</v>
      </c>
      <c r="W23" s="508" t="str">
        <f t="shared" si="5"/>
        <v>Incumple</v>
      </c>
      <c r="X23" s="269"/>
      <c r="Y23" s="570" t="s">
        <v>140</v>
      </c>
      <c r="Z23" s="258">
        <f t="shared" si="6"/>
        <v>0</v>
      </c>
      <c r="AA23" s="258"/>
      <c r="AB23" s="258"/>
      <c r="AC23" s="258">
        <f t="shared" si="7"/>
        <v>0</v>
      </c>
      <c r="AD23" s="258"/>
    </row>
    <row r="24" spans="1:32" ht="72" hidden="1" thickBot="1">
      <c r="A24" s="272" t="s">
        <v>51</v>
      </c>
      <c r="B24" s="272" t="s">
        <v>52</v>
      </c>
      <c r="C24" s="272" t="s">
        <v>141</v>
      </c>
      <c r="D24" s="272" t="s">
        <v>142</v>
      </c>
      <c r="E24" s="272" t="s">
        <v>143</v>
      </c>
      <c r="F24" s="272" t="s">
        <v>144</v>
      </c>
      <c r="G24" s="272" t="s">
        <v>145</v>
      </c>
      <c r="H24" s="272">
        <v>1</v>
      </c>
      <c r="I24" s="258" t="s">
        <v>58</v>
      </c>
      <c r="J24" s="272" t="s">
        <v>59</v>
      </c>
      <c r="K24" s="272" t="s">
        <v>60</v>
      </c>
      <c r="L24" s="272" t="s">
        <v>145</v>
      </c>
      <c r="M24" s="512">
        <v>43252</v>
      </c>
      <c r="N24" s="512">
        <v>43830</v>
      </c>
      <c r="O24" s="503">
        <f t="shared" si="0"/>
        <v>82.571428571428569</v>
      </c>
      <c r="P24" s="512">
        <v>43369</v>
      </c>
      <c r="Q24" s="512">
        <v>43369</v>
      </c>
      <c r="R24" s="504">
        <f t="shared" si="1"/>
        <v>-65.857142857142861</v>
      </c>
      <c r="S24" s="505" t="str">
        <f t="shared" ca="1" si="2"/>
        <v>Alerta</v>
      </c>
      <c r="T24" s="503">
        <v>1</v>
      </c>
      <c r="U24" s="161">
        <f t="shared" si="3"/>
        <v>1</v>
      </c>
      <c r="V24" s="507" t="str">
        <f t="shared" si="4"/>
        <v>100%</v>
      </c>
      <c r="W24" s="508" t="str">
        <f t="shared" si="5"/>
        <v>Cumple</v>
      </c>
      <c r="X24" s="258"/>
      <c r="Y24" s="258" t="s">
        <v>146</v>
      </c>
      <c r="Z24" s="258">
        <f t="shared" si="6"/>
        <v>1</v>
      </c>
      <c r="AA24" s="258"/>
      <c r="AB24" s="258"/>
      <c r="AC24" s="258">
        <f t="shared" si="7"/>
        <v>1</v>
      </c>
      <c r="AD24" s="258"/>
    </row>
    <row r="25" spans="1:32" ht="189.75" customHeight="1">
      <c r="A25" s="272" t="s">
        <v>51</v>
      </c>
      <c r="B25" s="272" t="s">
        <v>52</v>
      </c>
      <c r="C25" s="272" t="s">
        <v>147</v>
      </c>
      <c r="D25" s="272" t="s">
        <v>148</v>
      </c>
      <c r="E25" s="272" t="s">
        <v>149</v>
      </c>
      <c r="F25" s="272" t="s">
        <v>150</v>
      </c>
      <c r="G25" s="272" t="s">
        <v>151</v>
      </c>
      <c r="H25" s="272">
        <v>1</v>
      </c>
      <c r="I25" s="258" t="s">
        <v>58</v>
      </c>
      <c r="J25" s="272" t="s">
        <v>59</v>
      </c>
      <c r="K25" s="272" t="s">
        <v>60</v>
      </c>
      <c r="L25" s="272" t="s">
        <v>151</v>
      </c>
      <c r="M25" s="512">
        <v>43252</v>
      </c>
      <c r="N25" s="512">
        <v>43830</v>
      </c>
      <c r="O25" s="503">
        <f t="shared" si="0"/>
        <v>82.571428571428569</v>
      </c>
      <c r="P25" s="259">
        <v>45106</v>
      </c>
      <c r="Q25" s="512"/>
      <c r="R25" s="504">
        <f t="shared" si="1"/>
        <v>182.28571428571428</v>
      </c>
      <c r="S25" s="505" t="str">
        <f t="shared" ca="1" si="2"/>
        <v>Alerta</v>
      </c>
      <c r="T25" s="503">
        <v>0.05</v>
      </c>
      <c r="U25" s="161">
        <f t="shared" si="3"/>
        <v>0.05</v>
      </c>
      <c r="V25" s="507">
        <f t="shared" si="4"/>
        <v>0</v>
      </c>
      <c r="W25" s="508" t="str">
        <f t="shared" si="5"/>
        <v>Incumple</v>
      </c>
      <c r="X25" s="269"/>
      <c r="Y25" s="570" t="s">
        <v>152</v>
      </c>
      <c r="Z25" s="258">
        <f t="shared" si="6"/>
        <v>2.5000000000000001E-2</v>
      </c>
      <c r="AA25" s="258"/>
      <c r="AB25" s="258"/>
      <c r="AC25" s="258">
        <f t="shared" si="7"/>
        <v>2.5000000000000001E-2</v>
      </c>
      <c r="AD25" s="258"/>
    </row>
    <row r="26" spans="1:32" ht="45.75" customHeight="1" thickBot="1">
      <c r="A26"/>
      <c r="B26"/>
      <c r="C26"/>
      <c r="D26"/>
      <c r="E26"/>
      <c r="F26"/>
      <c r="G26" s="519" t="s">
        <v>153</v>
      </c>
      <c r="H26" s="520">
        <f>SUM(H7:H25)</f>
        <v>28</v>
      </c>
      <c r="I26"/>
      <c r="J26"/>
      <c r="K26"/>
      <c r="L26"/>
      <c r="M26"/>
      <c r="N26"/>
      <c r="O26"/>
      <c r="P26"/>
      <c r="Q26" s="667" t="s">
        <v>154</v>
      </c>
      <c r="R26" s="667"/>
      <c r="S26" s="667"/>
      <c r="T26" s="520">
        <f>SUM(T7:T25)</f>
        <v>22.5</v>
      </c>
      <c r="U26" s="521">
        <f>AVERAGE(U7:U25)</f>
        <v>0.71052631578947367</v>
      </c>
      <c r="V26" s="522" t="s">
        <v>43</v>
      </c>
      <c r="W26" s="523">
        <f>(COUNTIF(W7:W25,"Cumple"))/COUNTA(W7:W25)</f>
        <v>0.31578947368421051</v>
      </c>
      <c r="X26"/>
      <c r="Y26"/>
      <c r="Z26"/>
      <c r="AA26" s="667" t="s">
        <v>154</v>
      </c>
      <c r="AB26" s="667"/>
      <c r="AC26" s="523">
        <f>AVERAGE(AC7:AC25)</f>
        <v>0.51315789473684215</v>
      </c>
      <c r="AD26"/>
      <c r="AE26"/>
      <c r="AF26"/>
    </row>
    <row r="27" spans="1:32">
      <c r="A27"/>
      <c r="B27"/>
      <c r="C27"/>
      <c r="D27"/>
      <c r="E27"/>
      <c r="F27"/>
      <c r="I27"/>
      <c r="J27"/>
      <c r="K27"/>
      <c r="L27"/>
      <c r="M27"/>
      <c r="N27"/>
      <c r="O27"/>
      <c r="P27"/>
      <c r="X27"/>
      <c r="Y27"/>
      <c r="Z27"/>
      <c r="AD27"/>
      <c r="AE27"/>
      <c r="AF27"/>
    </row>
    <row r="28" spans="1:32">
      <c r="A28"/>
      <c r="B28"/>
      <c r="C28"/>
      <c r="D28"/>
      <c r="E28"/>
      <c r="F28"/>
      <c r="I28"/>
      <c r="J28"/>
      <c r="K28"/>
      <c r="L28"/>
      <c r="M28"/>
      <c r="N28"/>
      <c r="O28"/>
      <c r="P28"/>
      <c r="X28"/>
      <c r="Y28"/>
      <c r="Z28"/>
      <c r="AD28"/>
      <c r="AE28"/>
      <c r="AF28"/>
    </row>
    <row r="29" spans="1:32">
      <c r="A29"/>
      <c r="B29"/>
      <c r="C29"/>
      <c r="D29"/>
      <c r="E29"/>
      <c r="F29"/>
      <c r="I29"/>
      <c r="J29"/>
      <c r="K29"/>
      <c r="L29"/>
      <c r="M29"/>
      <c r="N29"/>
      <c r="O29"/>
      <c r="P29"/>
      <c r="T29" s="76"/>
      <c r="X29"/>
      <c r="Y29"/>
      <c r="Z29"/>
      <c r="AD29"/>
      <c r="AE29"/>
      <c r="AF29"/>
    </row>
    <row r="30" spans="1:32">
      <c r="A30"/>
      <c r="B30"/>
      <c r="C30"/>
      <c r="D30"/>
      <c r="E30"/>
      <c r="F30"/>
      <c r="I30"/>
      <c r="J30"/>
      <c r="K30"/>
      <c r="L30"/>
      <c r="M30"/>
      <c r="N30"/>
      <c r="O30"/>
      <c r="P30"/>
      <c r="T30" s="76"/>
      <c r="X30"/>
      <c r="Y30"/>
      <c r="Z30"/>
      <c r="AD30"/>
      <c r="AE30"/>
      <c r="AF30"/>
    </row>
    <row r="31" spans="1:32">
      <c r="A31"/>
      <c r="B31"/>
      <c r="C31"/>
      <c r="D31"/>
      <c r="E31"/>
      <c r="F31"/>
      <c r="I31"/>
      <c r="J31"/>
      <c r="K31"/>
      <c r="L31"/>
      <c r="M31"/>
      <c r="N31"/>
      <c r="O31"/>
      <c r="P31"/>
      <c r="T31" s="76"/>
      <c r="AD31"/>
      <c r="AE31"/>
      <c r="AF31"/>
    </row>
    <row r="32" spans="1:32">
      <c r="A32"/>
      <c r="B32"/>
      <c r="C32"/>
      <c r="D32"/>
      <c r="E32"/>
      <c r="F32"/>
      <c r="I32"/>
      <c r="J32"/>
      <c r="K32"/>
      <c r="L32"/>
      <c r="M32"/>
      <c r="N32"/>
      <c r="O32"/>
      <c r="P32"/>
      <c r="AD32"/>
      <c r="AE32"/>
      <c r="AF32"/>
    </row>
    <row r="33" spans="1:32">
      <c r="A33"/>
      <c r="B33"/>
      <c r="C33"/>
      <c r="D33"/>
      <c r="E33"/>
      <c r="F33"/>
      <c r="I33"/>
      <c r="J33"/>
      <c r="K33"/>
      <c r="L33"/>
      <c r="M33"/>
      <c r="N33"/>
      <c r="O33"/>
      <c r="P33"/>
      <c r="AD33"/>
      <c r="AE33"/>
      <c r="AF33"/>
    </row>
    <row r="34" spans="1:32">
      <c r="A34"/>
      <c r="B34"/>
      <c r="C34"/>
      <c r="D34"/>
      <c r="E34"/>
      <c r="F34"/>
      <c r="I34"/>
      <c r="J34"/>
      <c r="K34"/>
      <c r="L34"/>
      <c r="M34"/>
      <c r="N34"/>
      <c r="O34"/>
      <c r="P34"/>
      <c r="AD34"/>
      <c r="AE34"/>
      <c r="AF34"/>
    </row>
    <row r="35" spans="1:32">
      <c r="A35"/>
      <c r="B35"/>
      <c r="C35"/>
      <c r="D35"/>
      <c r="E35"/>
      <c r="F35"/>
      <c r="I35"/>
      <c r="J35"/>
      <c r="K35"/>
      <c r="L35"/>
      <c r="M35"/>
      <c r="N35"/>
      <c r="O35"/>
      <c r="P35"/>
      <c r="AD35"/>
      <c r="AE35"/>
      <c r="AF35"/>
    </row>
    <row r="36" spans="1:32">
      <c r="A36"/>
      <c r="B36"/>
      <c r="C36"/>
      <c r="D36"/>
      <c r="E36"/>
      <c r="F36"/>
      <c r="I36"/>
      <c r="J36"/>
      <c r="K36"/>
      <c r="L36"/>
      <c r="M36"/>
      <c r="N36"/>
      <c r="O36"/>
      <c r="P36"/>
      <c r="AD36"/>
      <c r="AE36"/>
      <c r="AF36"/>
    </row>
    <row r="37" spans="1:32">
      <c r="I37"/>
      <c r="J37"/>
      <c r="K37"/>
      <c r="L37"/>
      <c r="M37"/>
      <c r="N37"/>
      <c r="O37"/>
      <c r="P37"/>
      <c r="AD37"/>
      <c r="AE37"/>
      <c r="AF37"/>
    </row>
  </sheetData>
  <autoFilter ref="A6:AD26" xr:uid="{E89D4CB8-B9B7-4B43-90B0-4527A4857D6C}">
    <filterColumn colId="20">
      <filters>
        <filter val="0%"/>
        <filter val="40%"/>
        <filter val="45%"/>
        <filter val="5%"/>
        <filter val="50%"/>
        <filter val="71%"/>
        <filter val="80%"/>
        <filter val="90%"/>
      </filters>
    </filterColumn>
  </autoFilter>
  <mergeCells count="26">
    <mergeCell ref="AA26:AB26"/>
    <mergeCell ref="Q26:S26"/>
    <mergeCell ref="Z1:AD4"/>
    <mergeCell ref="O3:P3"/>
    <mergeCell ref="T4:U4"/>
    <mergeCell ref="V4:Y4"/>
    <mergeCell ref="Q4:S4"/>
    <mergeCell ref="O1:P2"/>
    <mergeCell ref="Q1:Y2"/>
    <mergeCell ref="W3:X3"/>
    <mergeCell ref="Q3:V3"/>
    <mergeCell ref="A4:B4"/>
    <mergeCell ref="C4:F4"/>
    <mergeCell ref="G4:H4"/>
    <mergeCell ref="I4:N4"/>
    <mergeCell ref="O4:P4"/>
    <mergeCell ref="A1:B1"/>
    <mergeCell ref="C1:N1"/>
    <mergeCell ref="A3:B3"/>
    <mergeCell ref="C3:F3"/>
    <mergeCell ref="G3:H3"/>
    <mergeCell ref="I3:N3"/>
    <mergeCell ref="A2:B2"/>
    <mergeCell ref="C2:F2"/>
    <mergeCell ref="G2:H2"/>
    <mergeCell ref="I2:N2"/>
  </mergeCells>
  <conditionalFormatting sqref="R7:R25">
    <cfRule type="cellIs" dxfId="536" priority="24" operator="greaterThan">
      <formula>0</formula>
    </cfRule>
    <cfRule type="cellIs" dxfId="535" priority="25" operator="lessThan">
      <formula>0</formula>
    </cfRule>
  </conditionalFormatting>
  <conditionalFormatting sqref="S7:S25">
    <cfRule type="containsText" dxfId="534" priority="22" operator="containsText" text="Alerta">
      <formula>NOT(ISERROR(SEARCH("Alerta",S7)))</formula>
    </cfRule>
    <cfRule type="containsText" dxfId="533" priority="23" operator="containsText" text="En tiempo">
      <formula>NOT(ISERROR(SEARCH("En tiempo",S7)))</formula>
    </cfRule>
  </conditionalFormatting>
  <conditionalFormatting sqref="U7:U26">
    <cfRule type="cellIs" dxfId="532" priority="1" stopIfTrue="1" operator="between">
      <formula>0.8</formula>
      <formula>1</formula>
    </cfRule>
    <cfRule type="cellIs" dxfId="531" priority="2" stopIfTrue="1" operator="between">
      <formula>0.5</formula>
      <formula>0.79</formula>
    </cfRule>
    <cfRule type="cellIs" dxfId="530" priority="3" stopIfTrue="1" operator="between">
      <formula>0.3</formula>
      <formula>0.49</formula>
    </cfRule>
    <cfRule type="cellIs" dxfId="529" priority="4" stopIfTrue="1" operator="between">
      <formula>0</formula>
      <formula>0.29</formula>
    </cfRule>
  </conditionalFormatting>
  <conditionalFormatting sqref="V7:V25">
    <cfRule type="cellIs" dxfId="528" priority="16" operator="between">
      <formula>0.19</formula>
      <formula>0</formula>
    </cfRule>
    <cfRule type="cellIs" dxfId="527" priority="17" operator="between">
      <formula>0.49</formula>
      <formula>0.2</formula>
    </cfRule>
    <cfRule type="cellIs" dxfId="526" priority="18" operator="between">
      <formula>0.89</formula>
      <formula>0.5</formula>
    </cfRule>
    <cfRule type="cellIs" dxfId="525" priority="19" operator="between">
      <formula>1</formula>
      <formula>0.9</formula>
    </cfRule>
  </conditionalFormatting>
  <conditionalFormatting sqref="W7:W25">
    <cfRule type="containsText" dxfId="524" priority="20" operator="containsText" text="Incumple">
      <formula>NOT(ISERROR(SEARCH("Incumple",W7)))</formula>
    </cfRule>
    <cfRule type="containsText" dxfId="523" priority="21" operator="containsText" text="Cumple">
      <formula>NOT(ISERROR(SEARCH("Cumple",W7)))</formula>
    </cfRule>
  </conditionalFormatting>
  <conditionalFormatting sqref="W26">
    <cfRule type="cellIs" dxfId="522" priority="8" operator="between">
      <formula>0.19</formula>
      <formula>0</formula>
    </cfRule>
    <cfRule type="cellIs" dxfId="521" priority="9" operator="between">
      <formula>0.49</formula>
      <formula>0.2</formula>
    </cfRule>
    <cfRule type="cellIs" dxfId="520" priority="10" operator="between">
      <formula>0.89</formula>
      <formula>0.5</formula>
    </cfRule>
    <cfRule type="cellIs" dxfId="519" priority="11" operator="between">
      <formula>1</formula>
      <formula>0.9</formula>
    </cfRule>
  </conditionalFormatting>
  <conditionalFormatting sqref="AC26">
    <cfRule type="cellIs" dxfId="518" priority="5" operator="between">
      <formula>0.3</formula>
      <formula>0</formula>
    </cfRule>
    <cfRule type="cellIs" dxfId="517" priority="6" operator="between">
      <formula>0.6999</formula>
      <formula>0.3111</formula>
    </cfRule>
    <cfRule type="cellIs" dxfId="516" priority="7" operator="between">
      <formula>1</formula>
      <formula>0.7</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AD20"/>
  <sheetViews>
    <sheetView zoomScale="40" zoomScaleNormal="40" zoomScaleSheetLayoutView="49" workbookViewId="0">
      <selection activeCell="X14" sqref="X14"/>
    </sheetView>
  </sheetViews>
  <sheetFormatPr defaultColWidth="9.140625" defaultRowHeight="12.75"/>
  <cols>
    <col min="1" max="1" width="12.140625" style="53" customWidth="1"/>
    <col min="2" max="2" width="11.42578125" style="53" customWidth="1"/>
    <col min="3" max="3" width="46.28515625" style="53" customWidth="1"/>
    <col min="4" max="4" width="44.140625" style="53" customWidth="1"/>
    <col min="5" max="5" width="36.7109375" style="53" customWidth="1"/>
    <col min="6" max="6" width="33.5703125" style="53" customWidth="1"/>
    <col min="7" max="7" width="32.85546875" style="53" customWidth="1"/>
    <col min="8" max="8" width="13" style="53" customWidth="1"/>
    <col min="9" max="9" width="26.5703125" style="53" customWidth="1"/>
    <col min="10" max="10" width="16.140625" style="53" customWidth="1"/>
    <col min="11" max="11" width="21.42578125" style="53" customWidth="1"/>
    <col min="12" max="12" width="20.5703125" style="53" customWidth="1"/>
    <col min="13" max="13" width="12.7109375" style="53" customWidth="1"/>
    <col min="14" max="14" width="14" style="53" customWidth="1"/>
    <col min="15" max="15" width="12" style="53" customWidth="1"/>
    <col min="16" max="16" width="14.42578125" style="53" customWidth="1"/>
    <col min="17" max="17" width="13.140625" style="53" customWidth="1"/>
    <col min="18" max="18" width="11.5703125" style="53" customWidth="1"/>
    <col min="19" max="19" width="11.140625" style="53" customWidth="1"/>
    <col min="20" max="20" width="15" style="53" customWidth="1"/>
    <col min="21" max="21" width="19.42578125" style="53" customWidth="1"/>
    <col min="22" max="22" width="14.28515625" style="53" customWidth="1"/>
    <col min="23" max="23" width="16.7109375" style="53" customWidth="1"/>
    <col min="24" max="24" width="60.140625" style="53" customWidth="1"/>
    <col min="25" max="25" width="100" style="53" customWidth="1"/>
    <col min="26" max="26" width="12.28515625" style="53" customWidth="1"/>
    <col min="27" max="27" width="13.42578125" style="53" customWidth="1"/>
    <col min="28" max="28" width="14.140625" style="53" customWidth="1"/>
    <col min="29" max="29" width="14.7109375" style="53" customWidth="1"/>
    <col min="30" max="30" width="72.42578125" style="53" customWidth="1"/>
    <col min="31" max="31" width="17.5703125" style="53" customWidth="1"/>
    <col min="32" max="41" width="17.5703125" style="53"/>
    <col min="42" max="42" width="28.5703125" style="53" customWidth="1"/>
    <col min="43" max="43" width="42" style="53" customWidth="1"/>
    <col min="44" max="44" width="9.140625" style="53" customWidth="1"/>
    <col min="45" max="45" width="51.42578125" style="53" customWidth="1"/>
    <col min="46" max="46" width="8.5703125" style="53" customWidth="1"/>
    <col min="47" max="47" width="7.140625" style="53" customWidth="1"/>
    <col min="48" max="48" width="20.85546875" style="53" customWidth="1"/>
    <col min="49" max="49" width="9.140625" style="53" customWidth="1"/>
    <col min="50" max="50" width="22.42578125" style="53" customWidth="1"/>
    <col min="51" max="16384" width="9.140625" style="53"/>
  </cols>
  <sheetData>
    <row r="1" spans="1:30" ht="105.6"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3" t="s">
        <v>1</v>
      </c>
      <c r="AA1" s="663"/>
      <c r="AB1" s="663"/>
      <c r="AC1" s="663"/>
      <c r="AD1" s="663"/>
    </row>
    <row r="2" spans="1:30" ht="20.100000000000001"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63"/>
      <c r="AA2" s="663"/>
      <c r="AB2" s="663"/>
      <c r="AC2" s="663"/>
      <c r="AD2" s="663"/>
    </row>
    <row r="3" spans="1:30" ht="25.5" customHeight="1">
      <c r="A3" s="677" t="s">
        <v>6</v>
      </c>
      <c r="B3" s="677"/>
      <c r="C3" s="663" t="s">
        <v>915</v>
      </c>
      <c r="D3" s="663"/>
      <c r="E3" s="663"/>
      <c r="F3" s="663"/>
      <c r="G3" s="677" t="s">
        <v>8</v>
      </c>
      <c r="H3" s="677"/>
      <c r="I3" s="665">
        <v>42955</v>
      </c>
      <c r="J3" s="663"/>
      <c r="K3" s="663"/>
      <c r="L3" s="663"/>
      <c r="M3" s="663"/>
      <c r="N3" s="663"/>
      <c r="O3" s="677" t="s">
        <v>9</v>
      </c>
      <c r="P3" s="677"/>
      <c r="Q3" s="665">
        <v>45286</v>
      </c>
      <c r="R3" s="665"/>
      <c r="S3" s="665"/>
      <c r="T3" s="665"/>
      <c r="U3" s="665"/>
      <c r="V3" s="665"/>
      <c r="W3" s="677" t="s">
        <v>10</v>
      </c>
      <c r="X3" s="677"/>
      <c r="Y3" s="378" t="s">
        <v>916</v>
      </c>
      <c r="Z3" s="663"/>
      <c r="AA3" s="663"/>
      <c r="AB3" s="663"/>
      <c r="AC3" s="663"/>
      <c r="AD3" s="663"/>
    </row>
    <row r="4" spans="1:30" ht="42" customHeight="1" thickBot="1">
      <c r="A4" s="677" t="s">
        <v>12</v>
      </c>
      <c r="B4" s="677"/>
      <c r="C4" s="663" t="s">
        <v>917</v>
      </c>
      <c r="D4" s="663"/>
      <c r="E4" s="663"/>
      <c r="F4" s="663"/>
      <c r="G4" s="677" t="s">
        <v>14</v>
      </c>
      <c r="H4" s="677"/>
      <c r="I4" s="665" t="s">
        <v>918</v>
      </c>
      <c r="J4" s="665"/>
      <c r="K4" s="665"/>
      <c r="L4" s="665"/>
      <c r="M4" s="665"/>
      <c r="N4" s="665"/>
      <c r="O4" s="677" t="s">
        <v>15</v>
      </c>
      <c r="P4" s="677"/>
      <c r="Q4" s="663" t="s">
        <v>16</v>
      </c>
      <c r="R4" s="663"/>
      <c r="S4" s="663"/>
      <c r="T4" s="664" t="s">
        <v>17</v>
      </c>
      <c r="U4" s="664"/>
      <c r="V4" s="717" t="s">
        <v>919</v>
      </c>
      <c r="W4" s="717"/>
      <c r="X4" s="717"/>
      <c r="Y4" s="717"/>
      <c r="Z4" s="663"/>
      <c r="AA4" s="663"/>
      <c r="AB4" s="663"/>
      <c r="AC4" s="663"/>
      <c r="AD4" s="663"/>
    </row>
    <row r="5" spans="1:30" ht="28.5" customHeight="1" thickBot="1">
      <c r="A5" s="526" t="s">
        <v>18</v>
      </c>
      <c r="B5" s="526"/>
      <c r="C5" s="526"/>
      <c r="D5" s="526"/>
      <c r="E5" s="526"/>
      <c r="F5" s="526"/>
      <c r="G5" s="526"/>
      <c r="H5" s="526"/>
      <c r="I5" s="526"/>
      <c r="J5" s="526"/>
      <c r="K5" s="526"/>
      <c r="L5" s="526"/>
      <c r="M5" s="526"/>
      <c r="N5" s="526"/>
      <c r="O5" s="527" t="s">
        <v>19</v>
      </c>
      <c r="P5" s="527"/>
      <c r="Q5" s="527"/>
      <c r="R5" s="527"/>
      <c r="S5" s="527"/>
      <c r="T5" s="527"/>
      <c r="U5" s="527"/>
      <c r="V5" s="527"/>
      <c r="W5" s="527"/>
      <c r="X5" s="527"/>
      <c r="Y5" s="527"/>
      <c r="Z5" s="528" t="s">
        <v>20</v>
      </c>
      <c r="AA5" s="528"/>
      <c r="AB5" s="528"/>
      <c r="AC5" s="528"/>
      <c r="AD5" s="528"/>
    </row>
    <row r="6" spans="1:30" ht="102" customHeight="1" thickBot="1">
      <c r="A6" s="379" t="s">
        <v>21</v>
      </c>
      <c r="B6" s="379" t="s">
        <v>22</v>
      </c>
      <c r="C6" s="379" t="s">
        <v>770</v>
      </c>
      <c r="D6" s="379" t="s">
        <v>24</v>
      </c>
      <c r="E6" s="379" t="s">
        <v>25</v>
      </c>
      <c r="F6" s="379" t="s">
        <v>26</v>
      </c>
      <c r="G6" s="379" t="s">
        <v>27</v>
      </c>
      <c r="H6" s="379" t="s">
        <v>28</v>
      </c>
      <c r="I6" s="379" t="s">
        <v>29</v>
      </c>
      <c r="J6" s="379" t="s">
        <v>30</v>
      </c>
      <c r="K6" s="379" t="s">
        <v>31</v>
      </c>
      <c r="L6" s="379" t="s">
        <v>32</v>
      </c>
      <c r="M6" s="379" t="s">
        <v>33</v>
      </c>
      <c r="N6" s="379" t="s">
        <v>34</v>
      </c>
      <c r="O6" s="380" t="s">
        <v>35</v>
      </c>
      <c r="P6" s="380" t="s">
        <v>36</v>
      </c>
      <c r="Q6" s="380" t="s">
        <v>37</v>
      </c>
      <c r="R6" s="380" t="s">
        <v>38</v>
      </c>
      <c r="S6" s="380" t="s">
        <v>39</v>
      </c>
      <c r="T6" s="380" t="s">
        <v>40</v>
      </c>
      <c r="U6" s="380" t="s">
        <v>41</v>
      </c>
      <c r="V6" s="380" t="s">
        <v>42</v>
      </c>
      <c r="W6" s="380" t="s">
        <v>43</v>
      </c>
      <c r="X6" s="380" t="s">
        <v>44</v>
      </c>
      <c r="Y6" s="380" t="s">
        <v>45</v>
      </c>
      <c r="Z6" s="381" t="s">
        <v>46</v>
      </c>
      <c r="AA6" s="381" t="s">
        <v>771</v>
      </c>
      <c r="AB6" s="381" t="s">
        <v>48</v>
      </c>
      <c r="AC6" s="381" t="s">
        <v>49</v>
      </c>
      <c r="AD6" s="381" t="s">
        <v>50</v>
      </c>
    </row>
    <row r="7" spans="1:30" ht="210.75" customHeight="1">
      <c r="A7" s="292" t="s">
        <v>52</v>
      </c>
      <c r="B7" s="292" t="s">
        <v>583</v>
      </c>
      <c r="C7" s="230" t="s">
        <v>920</v>
      </c>
      <c r="D7" s="220" t="s">
        <v>921</v>
      </c>
      <c r="E7" s="220" t="s">
        <v>922</v>
      </c>
      <c r="F7" s="220" t="s">
        <v>923</v>
      </c>
      <c r="G7" s="220" t="s">
        <v>924</v>
      </c>
      <c r="H7" s="220">
        <v>1</v>
      </c>
      <c r="I7" s="529" t="s">
        <v>925</v>
      </c>
      <c r="J7" s="384" t="s">
        <v>600</v>
      </c>
      <c r="K7" s="384" t="s">
        <v>591</v>
      </c>
      <c r="L7" s="384"/>
      <c r="M7" s="415">
        <v>44432</v>
      </c>
      <c r="N7" s="415">
        <v>44796</v>
      </c>
      <c r="O7" s="386">
        <f>(N7-M7)/7</f>
        <v>52</v>
      </c>
      <c r="P7" s="415">
        <v>44742</v>
      </c>
      <c r="Q7" s="415">
        <v>44742</v>
      </c>
      <c r="R7" s="389">
        <f>(Q7-M7)/7-O7</f>
        <v>-7.7142857142857153</v>
      </c>
      <c r="S7" s="390" t="str">
        <f ca="1">IF((N7-TODAY())/7&gt;=0,"En tiempo","Alerta")</f>
        <v>Alerta</v>
      </c>
      <c r="T7" s="420">
        <v>1</v>
      </c>
      <c r="U7" s="190">
        <f>IF(T7/H7=1,1,+T7/H7)</f>
        <v>1</v>
      </c>
      <c r="V7" s="392" t="str">
        <f>IF(R7&gt;O7,0%,IF(R7&lt;=0,"100%",1-(R7/O7)))</f>
        <v>100%</v>
      </c>
      <c r="W7" s="393" t="str">
        <f>IF(Q7&lt;=N7,"Cumple","Incumple")</f>
        <v>Cumple</v>
      </c>
      <c r="X7" s="627" t="s">
        <v>926</v>
      </c>
      <c r="Y7" s="628" t="s">
        <v>927</v>
      </c>
      <c r="Z7" s="392">
        <f>(U7+V7)/2</f>
        <v>1</v>
      </c>
      <c r="AA7" s="396">
        <v>1</v>
      </c>
      <c r="AB7" s="396">
        <v>0.8</v>
      </c>
      <c r="AC7" s="397">
        <f>AVERAGE(Z7:AB7)</f>
        <v>0.93333333333333324</v>
      </c>
      <c r="AD7" s="398" t="s">
        <v>928</v>
      </c>
    </row>
    <row r="8" spans="1:30" ht="159">
      <c r="A8" s="292" t="s">
        <v>52</v>
      </c>
      <c r="B8" s="292" t="s">
        <v>583</v>
      </c>
      <c r="C8" s="230" t="s">
        <v>920</v>
      </c>
      <c r="D8" s="220" t="s">
        <v>929</v>
      </c>
      <c r="E8" s="220" t="s">
        <v>930</v>
      </c>
      <c r="F8" s="220" t="s">
        <v>931</v>
      </c>
      <c r="G8" s="220" t="s">
        <v>932</v>
      </c>
      <c r="H8" s="421">
        <v>1</v>
      </c>
      <c r="I8" s="384" t="s">
        <v>925</v>
      </c>
      <c r="J8" s="384" t="s">
        <v>600</v>
      </c>
      <c r="K8" s="384" t="s">
        <v>591</v>
      </c>
      <c r="L8" s="417"/>
      <c r="M8" s="415">
        <v>44432</v>
      </c>
      <c r="N8" s="415">
        <v>44796</v>
      </c>
      <c r="O8" s="386">
        <f t="shared" ref="O8:O19" si="0">(N8-M8)/7</f>
        <v>52</v>
      </c>
      <c r="P8" s="557">
        <v>45282</v>
      </c>
      <c r="Q8" s="422">
        <v>45282</v>
      </c>
      <c r="R8" s="389">
        <f>(Q8-M8)/7-O8</f>
        <v>69.428571428571431</v>
      </c>
      <c r="S8" s="390" t="str">
        <f t="shared" ref="S8:S19" ca="1" si="1">IF((N8-TODAY())/7&gt;=0,"En tiempo","Alerta")</f>
        <v>Alerta</v>
      </c>
      <c r="T8" s="420">
        <v>1</v>
      </c>
      <c r="U8" s="190">
        <f t="shared" ref="U8:U12" si="2">IF(T8/H8=1,1,+T8/H8)</f>
        <v>1</v>
      </c>
      <c r="V8" s="392">
        <f>IF(R8&gt;O8,0%,IF(R8&lt;=0,"100%",1-(R8/O8)))</f>
        <v>0</v>
      </c>
      <c r="W8" s="393" t="str">
        <f>IF(P8&lt;=N8,"Cumple","Incumple")</f>
        <v>Incumple</v>
      </c>
      <c r="X8" s="627" t="s">
        <v>933</v>
      </c>
      <c r="Y8" s="629" t="s">
        <v>934</v>
      </c>
      <c r="Z8" s="392">
        <f t="shared" ref="Z8:Z12" si="3">(U8+V8)/2</f>
        <v>0.5</v>
      </c>
      <c r="AA8" s="396"/>
      <c r="AB8" s="396"/>
      <c r="AC8" s="411"/>
      <c r="AD8" s="398" t="s">
        <v>935</v>
      </c>
    </row>
    <row r="9" spans="1:30" ht="277.5" customHeight="1">
      <c r="A9" s="292" t="s">
        <v>52</v>
      </c>
      <c r="B9" s="292" t="s">
        <v>583</v>
      </c>
      <c r="C9" s="230" t="s">
        <v>936</v>
      </c>
      <c r="D9" s="220" t="s">
        <v>937</v>
      </c>
      <c r="E9" s="220" t="s">
        <v>938</v>
      </c>
      <c r="F9" s="220" t="s">
        <v>939</v>
      </c>
      <c r="G9" s="220" t="s">
        <v>940</v>
      </c>
      <c r="H9" s="421">
        <v>1</v>
      </c>
      <c r="I9" s="384" t="s">
        <v>941</v>
      </c>
      <c r="J9" s="384" t="s">
        <v>600</v>
      </c>
      <c r="K9" s="384" t="s">
        <v>591</v>
      </c>
      <c r="L9" s="417"/>
      <c r="M9" s="415">
        <v>44432</v>
      </c>
      <c r="N9" s="415">
        <v>44796</v>
      </c>
      <c r="O9" s="386">
        <f t="shared" si="0"/>
        <v>52</v>
      </c>
      <c r="P9" s="557">
        <v>45275</v>
      </c>
      <c r="Q9" s="422">
        <v>45272</v>
      </c>
      <c r="R9" s="389">
        <f>(Q9-M9)/7-O9</f>
        <v>68</v>
      </c>
      <c r="S9" s="390" t="str">
        <f t="shared" ca="1" si="1"/>
        <v>Alerta</v>
      </c>
      <c r="T9" s="420">
        <v>1</v>
      </c>
      <c r="U9" s="190">
        <f t="shared" si="2"/>
        <v>1</v>
      </c>
      <c r="V9" s="392">
        <f>IF(R9&gt;O9,0%,IF(R9&lt;=0,"100%",1-(R9/O9)))</f>
        <v>0</v>
      </c>
      <c r="W9" s="393" t="str">
        <f>IF(P9&lt;=N9,"Cumple","Incumple")</f>
        <v>Incumple</v>
      </c>
      <c r="X9" s="627" t="s">
        <v>942</v>
      </c>
      <c r="Y9" s="626" t="s">
        <v>943</v>
      </c>
      <c r="Z9" s="392">
        <f>(U9+V9)/2</f>
        <v>0.5</v>
      </c>
      <c r="AA9" s="396">
        <v>0.5</v>
      </c>
      <c r="AB9" s="396">
        <v>0.3</v>
      </c>
      <c r="AC9" s="397">
        <f>AVERAGE(Z9:AB9)</f>
        <v>0.43333333333333335</v>
      </c>
      <c r="AD9" s="398" t="s">
        <v>944</v>
      </c>
    </row>
    <row r="10" spans="1:30" ht="303.75" customHeight="1">
      <c r="A10" s="292" t="s">
        <v>52</v>
      </c>
      <c r="B10" s="292" t="s">
        <v>583</v>
      </c>
      <c r="C10" s="230" t="s">
        <v>945</v>
      </c>
      <c r="D10" s="220" t="s">
        <v>946</v>
      </c>
      <c r="E10" s="220" t="s">
        <v>947</v>
      </c>
      <c r="F10" s="220" t="s">
        <v>948</v>
      </c>
      <c r="G10" s="220" t="s">
        <v>949</v>
      </c>
      <c r="H10" s="220">
        <v>1</v>
      </c>
      <c r="I10" s="384" t="s">
        <v>941</v>
      </c>
      <c r="J10" s="384" t="s">
        <v>600</v>
      </c>
      <c r="K10" s="384" t="s">
        <v>591</v>
      </c>
      <c r="L10" s="417"/>
      <c r="M10" s="415">
        <v>44073</v>
      </c>
      <c r="N10" s="415">
        <v>44407</v>
      </c>
      <c r="O10" s="386">
        <f t="shared" si="0"/>
        <v>47.714285714285715</v>
      </c>
      <c r="P10" s="557">
        <v>45275</v>
      </c>
      <c r="Q10" s="561">
        <v>45275</v>
      </c>
      <c r="R10" s="389">
        <f>(Q10-M10)/7-O10</f>
        <v>124</v>
      </c>
      <c r="S10" s="390" t="str">
        <f t="shared" ca="1" si="1"/>
        <v>Alerta</v>
      </c>
      <c r="T10" s="558">
        <v>0.8</v>
      </c>
      <c r="U10" s="190">
        <f t="shared" si="2"/>
        <v>0.8</v>
      </c>
      <c r="V10" s="392">
        <f>IF(R10&gt;O10,0%,IF(R10&lt;=0,"100%",1-(R10/O10)))</f>
        <v>0</v>
      </c>
      <c r="W10" s="393" t="str">
        <f t="shared" ref="W10:W12" si="4">IF(Q10&lt;=N10,"Cumple","Incumple")</f>
        <v>Incumple</v>
      </c>
      <c r="X10" s="627" t="s">
        <v>950</v>
      </c>
      <c r="Y10" s="627" t="s">
        <v>951</v>
      </c>
      <c r="Z10" s="392">
        <f t="shared" si="3"/>
        <v>0.4</v>
      </c>
      <c r="AA10" s="396"/>
      <c r="AB10" s="396"/>
      <c r="AC10" s="411"/>
      <c r="AD10" s="398" t="s">
        <v>935</v>
      </c>
    </row>
    <row r="11" spans="1:30" ht="210.75" customHeight="1">
      <c r="A11" s="292" t="s">
        <v>52</v>
      </c>
      <c r="B11" s="292" t="s">
        <v>583</v>
      </c>
      <c r="C11" s="230" t="s">
        <v>952</v>
      </c>
      <c r="D11" s="416" t="s">
        <v>953</v>
      </c>
      <c r="E11" s="220" t="s">
        <v>954</v>
      </c>
      <c r="F11" s="220" t="s">
        <v>955</v>
      </c>
      <c r="G11" s="220" t="s">
        <v>956</v>
      </c>
      <c r="H11" s="220">
        <v>1</v>
      </c>
      <c r="I11" s="384" t="s">
        <v>957</v>
      </c>
      <c r="J11" s="384" t="s">
        <v>600</v>
      </c>
      <c r="K11" s="384" t="s">
        <v>591</v>
      </c>
      <c r="L11" s="417"/>
      <c r="M11" s="415">
        <v>44432</v>
      </c>
      <c r="N11" s="415">
        <v>44796</v>
      </c>
      <c r="O11" s="386">
        <f t="shared" si="0"/>
        <v>52</v>
      </c>
      <c r="P11" s="415">
        <v>44742</v>
      </c>
      <c r="Q11" s="415">
        <v>44742</v>
      </c>
      <c r="R11" s="389">
        <f t="shared" ref="R11:R19" si="5">(Q11-M11)/7-O11</f>
        <v>-7.7142857142857153</v>
      </c>
      <c r="S11" s="390" t="str">
        <f t="shared" ca="1" si="1"/>
        <v>Alerta</v>
      </c>
      <c r="T11" s="420">
        <v>1</v>
      </c>
      <c r="U11" s="190">
        <f t="shared" si="2"/>
        <v>1</v>
      </c>
      <c r="V11" s="392" t="str">
        <f t="shared" ref="V11:V12" si="6">IF(R11&gt;O11,0%,IF(R11&lt;=0,"100%",1-(R11/O11)))</f>
        <v>100%</v>
      </c>
      <c r="W11" s="393" t="str">
        <f>IF(Q11&lt;=N11,"Cumple","Incumple")</f>
        <v>Cumple</v>
      </c>
      <c r="X11" s="630" t="s">
        <v>958</v>
      </c>
      <c r="Y11" s="631" t="s">
        <v>959</v>
      </c>
      <c r="Z11" s="392">
        <f t="shared" si="3"/>
        <v>1</v>
      </c>
      <c r="AA11" s="396">
        <v>1</v>
      </c>
      <c r="AB11" s="396">
        <v>0.6</v>
      </c>
      <c r="AC11" s="397">
        <f>AVERAGE(Z11:AB11)</f>
        <v>0.8666666666666667</v>
      </c>
      <c r="AD11" s="398" t="s">
        <v>960</v>
      </c>
    </row>
    <row r="12" spans="1:30" ht="200.25" customHeight="1">
      <c r="A12" s="292" t="s">
        <v>52</v>
      </c>
      <c r="B12" s="292" t="s">
        <v>583</v>
      </c>
      <c r="C12" s="230" t="s">
        <v>961</v>
      </c>
      <c r="D12" s="416" t="s">
        <v>962</v>
      </c>
      <c r="E12" s="220" t="s">
        <v>963</v>
      </c>
      <c r="F12" s="220" t="s">
        <v>964</v>
      </c>
      <c r="G12" s="220" t="s">
        <v>956</v>
      </c>
      <c r="H12" s="220">
        <v>1</v>
      </c>
      <c r="I12" s="384" t="s">
        <v>957</v>
      </c>
      <c r="J12" s="384" t="s">
        <v>600</v>
      </c>
      <c r="K12" s="384" t="s">
        <v>591</v>
      </c>
      <c r="L12" s="417"/>
      <c r="M12" s="415">
        <v>44432</v>
      </c>
      <c r="N12" s="415">
        <v>44796</v>
      </c>
      <c r="O12" s="386">
        <f t="shared" si="0"/>
        <v>52</v>
      </c>
      <c r="P12" s="415">
        <v>44742</v>
      </c>
      <c r="Q12" s="415">
        <v>44742</v>
      </c>
      <c r="R12" s="389">
        <f t="shared" si="5"/>
        <v>-7.7142857142857153</v>
      </c>
      <c r="S12" s="390" t="str">
        <f t="shared" ca="1" si="1"/>
        <v>Alerta</v>
      </c>
      <c r="T12" s="420">
        <v>1</v>
      </c>
      <c r="U12" s="190">
        <f t="shared" si="2"/>
        <v>1</v>
      </c>
      <c r="V12" s="392" t="str">
        <f t="shared" si="6"/>
        <v>100%</v>
      </c>
      <c r="W12" s="393" t="str">
        <f t="shared" si="4"/>
        <v>Cumple</v>
      </c>
      <c r="X12" s="630" t="s">
        <v>965</v>
      </c>
      <c r="Y12" s="631" t="s">
        <v>966</v>
      </c>
      <c r="Z12" s="392">
        <f t="shared" si="3"/>
        <v>1</v>
      </c>
      <c r="AA12" s="396">
        <v>1</v>
      </c>
      <c r="AB12" s="396">
        <v>0.6</v>
      </c>
      <c r="AC12" s="397">
        <f>AVERAGE(Z12:AB12)</f>
        <v>0.8666666666666667</v>
      </c>
      <c r="AD12" s="398" t="s">
        <v>960</v>
      </c>
    </row>
    <row r="13" spans="1:30" ht="231">
      <c r="A13" s="292" t="s">
        <v>52</v>
      </c>
      <c r="B13" s="292" t="s">
        <v>583</v>
      </c>
      <c r="C13" s="230" t="s">
        <v>967</v>
      </c>
      <c r="D13" s="220" t="s">
        <v>968</v>
      </c>
      <c r="E13" s="220" t="s">
        <v>969</v>
      </c>
      <c r="F13" s="220" t="s">
        <v>970</v>
      </c>
      <c r="G13" s="220" t="s">
        <v>956</v>
      </c>
      <c r="H13" s="220">
        <v>1</v>
      </c>
      <c r="I13" s="384" t="s">
        <v>971</v>
      </c>
      <c r="J13" s="384" t="s">
        <v>600</v>
      </c>
      <c r="K13" s="384" t="s">
        <v>591</v>
      </c>
      <c r="L13" s="417"/>
      <c r="M13" s="415">
        <v>44432</v>
      </c>
      <c r="N13" s="415">
        <v>44796</v>
      </c>
      <c r="O13" s="386">
        <f>(N13-M13)/7</f>
        <v>52</v>
      </c>
      <c r="P13" s="415">
        <v>44742</v>
      </c>
      <c r="Q13" s="415">
        <v>44742</v>
      </c>
      <c r="R13" s="389">
        <f>(Q13-M13)/7-O13</f>
        <v>-7.7142857142857153</v>
      </c>
      <c r="S13" s="390" t="str">
        <f ca="1">IF((N13-TODAY())/7&gt;=0,"En tiempo","Alerta")</f>
        <v>Alerta</v>
      </c>
      <c r="T13" s="420">
        <v>1</v>
      </c>
      <c r="U13" s="190">
        <f>IF(T13/H13=1,1,+T13/H13)</f>
        <v>1</v>
      </c>
      <c r="V13" s="392" t="str">
        <f>IF(R13&gt;O13,0%,IF(R13&lt;=0,"100%",1-(R13/O13)))</f>
        <v>100%</v>
      </c>
      <c r="W13" s="393" t="str">
        <f>IF(Q13&lt;=N13,"Cumple","Incumple")</f>
        <v>Cumple</v>
      </c>
      <c r="X13" s="632" t="s">
        <v>972</v>
      </c>
      <c r="Y13" s="631" t="s">
        <v>973</v>
      </c>
      <c r="Z13" s="392">
        <f>(U13+V13)/2</f>
        <v>1</v>
      </c>
      <c r="AA13" s="396">
        <v>0.8</v>
      </c>
      <c r="AB13" s="396">
        <v>0.6</v>
      </c>
      <c r="AC13" s="397">
        <f>AVERAGE(Z13:AB13)</f>
        <v>0.79999999999999993</v>
      </c>
      <c r="AD13" s="398" t="s">
        <v>974</v>
      </c>
    </row>
    <row r="14" spans="1:30" ht="159.75" customHeight="1">
      <c r="A14" s="292" t="s">
        <v>52</v>
      </c>
      <c r="B14" s="292" t="s">
        <v>583</v>
      </c>
      <c r="C14" s="230" t="s">
        <v>975</v>
      </c>
      <c r="D14" s="220" t="s">
        <v>976</v>
      </c>
      <c r="E14" s="220" t="s">
        <v>977</v>
      </c>
      <c r="F14" s="220" t="s">
        <v>978</v>
      </c>
      <c r="G14" s="220" t="s">
        <v>979</v>
      </c>
      <c r="H14" s="220">
        <v>1</v>
      </c>
      <c r="I14" s="384" t="s">
        <v>980</v>
      </c>
      <c r="J14" s="384" t="s">
        <v>600</v>
      </c>
      <c r="K14" s="384" t="s">
        <v>591</v>
      </c>
      <c r="L14" s="417"/>
      <c r="M14" s="415">
        <v>44432</v>
      </c>
      <c r="N14" s="415">
        <v>44620</v>
      </c>
      <c r="O14" s="386">
        <f t="shared" si="0"/>
        <v>26.857142857142858</v>
      </c>
      <c r="P14" s="557">
        <v>45286</v>
      </c>
      <c r="Q14" s="422">
        <v>45286</v>
      </c>
      <c r="R14" s="389">
        <f t="shared" si="5"/>
        <v>95.142857142857139</v>
      </c>
      <c r="S14" s="390" t="str">
        <f t="shared" ca="1" si="1"/>
        <v>Alerta</v>
      </c>
      <c r="T14" s="420"/>
      <c r="U14" s="190">
        <f t="shared" ref="U14:U15" si="7">IF(T14/H14=1,1,+T14/H14)</f>
        <v>0</v>
      </c>
      <c r="V14" s="392">
        <f t="shared" ref="V14:V19" si="8">IF(R14&gt;O14,0%,IF(R14&lt;=0,"100%",1-(R14/O14)))</f>
        <v>0</v>
      </c>
      <c r="W14" s="393" t="str">
        <f t="shared" ref="W14" si="9">IF(Q14&lt;=N14,"Cumple","Incumple")</f>
        <v>Incumple</v>
      </c>
      <c r="X14" s="631" t="s">
        <v>981</v>
      </c>
      <c r="Y14" s="633" t="s">
        <v>982</v>
      </c>
      <c r="Z14" s="392">
        <f t="shared" ref="Z14:Z15" si="10">(U14+V14)/2</f>
        <v>0</v>
      </c>
      <c r="AA14" s="396"/>
      <c r="AB14" s="396"/>
      <c r="AC14" s="411"/>
      <c r="AD14" s="398" t="s">
        <v>983</v>
      </c>
    </row>
    <row r="15" spans="1:30" ht="145.5" customHeight="1">
      <c r="A15" s="292" t="s">
        <v>52</v>
      </c>
      <c r="B15" s="292" t="s">
        <v>583</v>
      </c>
      <c r="C15" s="230" t="s">
        <v>984</v>
      </c>
      <c r="D15" s="220" t="s">
        <v>985</v>
      </c>
      <c r="E15" s="220" t="s">
        <v>986</v>
      </c>
      <c r="F15" s="220" t="s">
        <v>987</v>
      </c>
      <c r="G15" s="220" t="s">
        <v>988</v>
      </c>
      <c r="H15" s="220">
        <v>1</v>
      </c>
      <c r="I15" s="384" t="s">
        <v>980</v>
      </c>
      <c r="J15" s="384" t="s">
        <v>600</v>
      </c>
      <c r="K15" s="384" t="s">
        <v>591</v>
      </c>
      <c r="L15" s="417"/>
      <c r="M15" s="415">
        <v>44432</v>
      </c>
      <c r="N15" s="415">
        <v>44620</v>
      </c>
      <c r="O15" s="386">
        <f t="shared" si="0"/>
        <v>26.857142857142858</v>
      </c>
      <c r="P15" s="415">
        <v>44742</v>
      </c>
      <c r="Q15" s="415">
        <v>44742</v>
      </c>
      <c r="R15" s="389">
        <f t="shared" si="5"/>
        <v>17.428571428571427</v>
      </c>
      <c r="S15" s="390" t="str">
        <f t="shared" ca="1" si="1"/>
        <v>Alerta</v>
      </c>
      <c r="T15" s="420">
        <v>1</v>
      </c>
      <c r="U15" s="190">
        <f t="shared" si="7"/>
        <v>1</v>
      </c>
      <c r="V15" s="392">
        <f t="shared" si="8"/>
        <v>0.35106382978723416</v>
      </c>
      <c r="W15" s="393" t="str">
        <f>IF(Q15&lt;=N15,"Cumple","Incumple")</f>
        <v>Incumple</v>
      </c>
      <c r="X15" s="631" t="s">
        <v>989</v>
      </c>
      <c r="Y15" s="634" t="s">
        <v>990</v>
      </c>
      <c r="Z15" s="392">
        <f t="shared" si="10"/>
        <v>0.67553191489361708</v>
      </c>
      <c r="AA15" s="396">
        <v>0.9</v>
      </c>
      <c r="AB15" s="396">
        <v>0.7</v>
      </c>
      <c r="AC15" s="397">
        <f>AVERAGE(Z15:AB15)</f>
        <v>0.75851063829787224</v>
      </c>
      <c r="AD15" s="398" t="s">
        <v>991</v>
      </c>
    </row>
    <row r="16" spans="1:30" ht="86.25">
      <c r="A16" s="292" t="s">
        <v>52</v>
      </c>
      <c r="B16" s="292" t="s">
        <v>583</v>
      </c>
      <c r="C16" s="230" t="s">
        <v>992</v>
      </c>
      <c r="D16" s="220" t="s">
        <v>993</v>
      </c>
      <c r="E16" s="220" t="s">
        <v>994</v>
      </c>
      <c r="F16" s="220" t="s">
        <v>995</v>
      </c>
      <c r="G16" s="220" t="s">
        <v>996</v>
      </c>
      <c r="H16" s="220">
        <v>1</v>
      </c>
      <c r="I16" s="384"/>
      <c r="J16" s="384" t="s">
        <v>600</v>
      </c>
      <c r="K16" s="384" t="s">
        <v>591</v>
      </c>
      <c r="L16" s="417"/>
      <c r="M16" s="415">
        <v>43040</v>
      </c>
      <c r="N16" s="415">
        <v>43099</v>
      </c>
      <c r="O16" s="386">
        <f>(N16-M16)/7</f>
        <v>8.4285714285714288</v>
      </c>
      <c r="P16" s="305"/>
      <c r="Q16" s="422">
        <v>44908</v>
      </c>
      <c r="R16" s="389">
        <f>(Q16-M16)/7-O16</f>
        <v>258.42857142857139</v>
      </c>
      <c r="S16" s="390" t="str">
        <f ca="1">IF((N16-TODAY())/7&gt;=0,"En tiempo","Alerta")</f>
        <v>Alerta</v>
      </c>
      <c r="T16" s="420">
        <v>1</v>
      </c>
      <c r="U16" s="190">
        <f>IF(T16/H16=1,1,+T16/H16)</f>
        <v>1</v>
      </c>
      <c r="V16" s="392">
        <f>IF(R16&gt;O16,0%,IF(R16&lt;=0,"100%",1-(R16/O16)))</f>
        <v>0</v>
      </c>
      <c r="W16" s="393" t="str">
        <f>IF(P16&lt;=N16,"Cumple","Incumple")</f>
        <v>Cumple</v>
      </c>
      <c r="X16" s="631"/>
      <c r="Y16" s="634"/>
      <c r="Z16" s="392">
        <f>(U16+V16)/2</f>
        <v>0.5</v>
      </c>
      <c r="AA16" s="396"/>
      <c r="AB16" s="396"/>
      <c r="AC16" s="411"/>
      <c r="AD16" s="398" t="s">
        <v>997</v>
      </c>
    </row>
    <row r="17" spans="1:30" ht="57" customHeight="1">
      <c r="A17" s="292" t="s">
        <v>52</v>
      </c>
      <c r="B17" s="292" t="s">
        <v>583</v>
      </c>
      <c r="C17" s="230" t="s">
        <v>998</v>
      </c>
      <c r="D17" s="220" t="s">
        <v>999</v>
      </c>
      <c r="E17" s="220" t="s">
        <v>1000</v>
      </c>
      <c r="F17" s="220" t="s">
        <v>1001</v>
      </c>
      <c r="G17" s="220" t="s">
        <v>1002</v>
      </c>
      <c r="H17" s="220">
        <v>1</v>
      </c>
      <c r="I17" s="384"/>
      <c r="J17" s="384" t="s">
        <v>600</v>
      </c>
      <c r="K17" s="384" t="s">
        <v>591</v>
      </c>
      <c r="L17" s="417"/>
      <c r="M17" s="415">
        <v>43009</v>
      </c>
      <c r="N17" s="415">
        <v>43099</v>
      </c>
      <c r="O17" s="386">
        <f t="shared" si="0"/>
        <v>12.857142857142858</v>
      </c>
      <c r="P17" s="305"/>
      <c r="Q17" s="422">
        <v>44908</v>
      </c>
      <c r="R17" s="389">
        <f t="shared" ref="R17:R18" si="11">(Q17-M17)/7-O17</f>
        <v>258.42857142857144</v>
      </c>
      <c r="S17" s="390" t="str">
        <f t="shared" ref="S17:S18" ca="1" si="12">IF((N17-TODAY())/7&gt;=0,"En tiempo","Alerta")</f>
        <v>Alerta</v>
      </c>
      <c r="T17" s="420">
        <v>1</v>
      </c>
      <c r="U17" s="190">
        <f>IF(T17/H17=1,1,+T17/H17)</f>
        <v>1</v>
      </c>
      <c r="V17" s="392">
        <f t="shared" ref="V17:V18" si="13">IF(R17&gt;O17,0%,IF(R17&lt;=0,"100%",1-(R17/O17)))</f>
        <v>0</v>
      </c>
      <c r="W17" s="393" t="str">
        <f>IF(P17&lt;=N17,"Cumple","Incumple")</f>
        <v>Cumple</v>
      </c>
      <c r="X17" s="631"/>
      <c r="Y17" s="634"/>
      <c r="Z17" s="392">
        <f t="shared" ref="Z17:Z19" si="14">(U17+V17)/2</f>
        <v>0.5</v>
      </c>
      <c r="AA17" s="396"/>
      <c r="AB17" s="396"/>
      <c r="AC17" s="411"/>
      <c r="AD17" s="398" t="s">
        <v>997</v>
      </c>
    </row>
    <row r="18" spans="1:30" ht="203.25" customHeight="1">
      <c r="A18" s="292" t="s">
        <v>52</v>
      </c>
      <c r="B18" s="292" t="s">
        <v>583</v>
      </c>
      <c r="C18" s="230" t="s">
        <v>1003</v>
      </c>
      <c r="D18" s="220" t="s">
        <v>1004</v>
      </c>
      <c r="E18" s="220" t="s">
        <v>1005</v>
      </c>
      <c r="F18" s="220" t="s">
        <v>1006</v>
      </c>
      <c r="G18" s="220" t="s">
        <v>1007</v>
      </c>
      <c r="H18" s="220">
        <v>1</v>
      </c>
      <c r="I18" s="384" t="s">
        <v>1008</v>
      </c>
      <c r="J18" s="384" t="s">
        <v>600</v>
      </c>
      <c r="K18" s="384" t="s">
        <v>591</v>
      </c>
      <c r="L18" s="417"/>
      <c r="M18" s="415">
        <v>44432</v>
      </c>
      <c r="N18" s="415">
        <v>44796</v>
      </c>
      <c r="O18" s="386">
        <f t="shared" si="0"/>
        <v>52</v>
      </c>
      <c r="P18" s="422">
        <v>44560</v>
      </c>
      <c r="Q18" s="422">
        <v>44560</v>
      </c>
      <c r="R18" s="389">
        <f t="shared" si="11"/>
        <v>-33.714285714285715</v>
      </c>
      <c r="S18" s="390" t="str">
        <f t="shared" ca="1" si="12"/>
        <v>Alerta</v>
      </c>
      <c r="T18" s="420">
        <v>1</v>
      </c>
      <c r="U18" s="190">
        <f t="shared" ref="U18:U19" si="15">IF(T18/H18=1,1,+T18/H18)</f>
        <v>1</v>
      </c>
      <c r="V18" s="392" t="str">
        <f t="shared" si="13"/>
        <v>100%</v>
      </c>
      <c r="W18" s="393" t="str">
        <f>IF(Q18&lt;=N18,"Cumple","Incumple")</f>
        <v>Cumple</v>
      </c>
      <c r="X18" s="628" t="s">
        <v>1009</v>
      </c>
      <c r="Y18" s="628" t="s">
        <v>1010</v>
      </c>
      <c r="Z18" s="392">
        <f t="shared" si="14"/>
        <v>1</v>
      </c>
      <c r="AA18" s="396">
        <v>0.5</v>
      </c>
      <c r="AB18" s="396">
        <v>0.6</v>
      </c>
      <c r="AC18" s="397">
        <f>AVERAGE(Z18:AB18)</f>
        <v>0.70000000000000007</v>
      </c>
      <c r="AD18" s="398" t="s">
        <v>1011</v>
      </c>
    </row>
    <row r="19" spans="1:30" ht="332.25" customHeight="1">
      <c r="A19" s="292" t="s">
        <v>52</v>
      </c>
      <c r="B19" s="292" t="s">
        <v>583</v>
      </c>
      <c r="C19" s="230" t="s">
        <v>1012</v>
      </c>
      <c r="D19" s="220" t="s">
        <v>946</v>
      </c>
      <c r="E19" s="220" t="s">
        <v>1013</v>
      </c>
      <c r="F19" s="418" t="s">
        <v>1014</v>
      </c>
      <c r="G19" s="220" t="s">
        <v>1015</v>
      </c>
      <c r="H19" s="421">
        <v>1</v>
      </c>
      <c r="I19" s="384" t="s">
        <v>1016</v>
      </c>
      <c r="J19" s="384" t="s">
        <v>600</v>
      </c>
      <c r="K19" s="384" t="s">
        <v>591</v>
      </c>
      <c r="L19" s="417"/>
      <c r="M19" s="415">
        <v>44432</v>
      </c>
      <c r="N19" s="415">
        <v>44432</v>
      </c>
      <c r="O19" s="386">
        <f t="shared" si="0"/>
        <v>0</v>
      </c>
      <c r="P19" s="557">
        <v>45253</v>
      </c>
      <c r="Q19" s="561">
        <v>48906</v>
      </c>
      <c r="R19" s="389">
        <f t="shared" si="5"/>
        <v>639.14285714285711</v>
      </c>
      <c r="S19" s="390" t="str">
        <f t="shared" ca="1" si="1"/>
        <v>Alerta</v>
      </c>
      <c r="T19" s="420">
        <v>0.8</v>
      </c>
      <c r="U19" s="190">
        <f t="shared" si="15"/>
        <v>0.8</v>
      </c>
      <c r="V19" s="419">
        <f t="shared" si="8"/>
        <v>0</v>
      </c>
      <c r="W19" s="393" t="str">
        <f>IF(P19&lt;=N19,"Cumple","Incumple")</f>
        <v>Incumple</v>
      </c>
      <c r="X19" s="631" t="s">
        <v>1017</v>
      </c>
      <c r="Y19" s="635" t="s">
        <v>1018</v>
      </c>
      <c r="Z19" s="392">
        <f t="shared" si="14"/>
        <v>0.4</v>
      </c>
      <c r="AA19" s="396"/>
      <c r="AB19" s="396"/>
      <c r="AC19" s="411"/>
      <c r="AD19" s="398" t="s">
        <v>935</v>
      </c>
    </row>
    <row r="20" spans="1:30" ht="15.75" thickBot="1">
      <c r="G20" s="379" t="s">
        <v>153</v>
      </c>
      <c r="H20" s="386">
        <f>SUM(H7:H19)</f>
        <v>13</v>
      </c>
      <c r="R20" s="525" t="s">
        <v>154</v>
      </c>
      <c r="S20" s="525"/>
      <c r="T20" s="408">
        <f>SUM(T7:T19)</f>
        <v>11.600000000000001</v>
      </c>
      <c r="U20" s="161">
        <f>AVERAGE(U7:U19)</f>
        <v>0.89230769230769247</v>
      </c>
      <c r="V20" s="407"/>
      <c r="W20" s="406">
        <f>(COUNTIF(W7:W19,"Cumple")*100%)/COUNTA(W7:W19)</f>
        <v>0.53846153846153844</v>
      </c>
      <c r="AA20" s="525" t="s">
        <v>154</v>
      </c>
      <c r="AB20" s="525"/>
      <c r="AC20" s="405">
        <f>AVERAGE(AC7:AC19)</f>
        <v>0.76550151975683889</v>
      </c>
    </row>
  </sheetData>
  <dataConsolidate/>
  <mergeCells count="24">
    <mergeCell ref="T4:U4"/>
    <mergeCell ref="V4:Y4"/>
    <mergeCell ref="A4:B4"/>
    <mergeCell ref="C4:F4"/>
    <mergeCell ref="G4:H4"/>
    <mergeCell ref="I4:N4"/>
    <mergeCell ref="O4:P4"/>
    <mergeCell ref="Q4:S4"/>
    <mergeCell ref="O1:P2"/>
    <mergeCell ref="Q1:Y2"/>
    <mergeCell ref="Z1:AD4"/>
    <mergeCell ref="W3:X3"/>
    <mergeCell ref="A2:B2"/>
    <mergeCell ref="C2:F2"/>
    <mergeCell ref="G2:H2"/>
    <mergeCell ref="I2:N2"/>
    <mergeCell ref="Q3:V3"/>
    <mergeCell ref="A1:B1"/>
    <mergeCell ref="C1:N1"/>
    <mergeCell ref="A3:B3"/>
    <mergeCell ref="C3:F3"/>
    <mergeCell ref="G3:H3"/>
    <mergeCell ref="I3:N3"/>
    <mergeCell ref="O3:P3"/>
  </mergeCells>
  <conditionalFormatting sqref="R7:R19">
    <cfRule type="cellIs" dxfId="327" priority="31" operator="greaterThan">
      <formula>0</formula>
    </cfRule>
    <cfRule type="cellIs" dxfId="326" priority="32" operator="lessThan">
      <formula>0</formula>
    </cfRule>
  </conditionalFormatting>
  <conditionalFormatting sqref="S7:S19">
    <cfRule type="containsText" dxfId="325" priority="29" operator="containsText" text="Alerta">
      <formula>NOT(ISERROR(SEARCH("Alerta",S7)))</formula>
    </cfRule>
    <cfRule type="containsText" dxfId="324" priority="30" operator="containsText" text="En tiempo">
      <formula>NOT(ISERROR(SEARCH("En tiempo",S7)))</formula>
    </cfRule>
  </conditionalFormatting>
  <conditionalFormatting sqref="U7:U20">
    <cfRule type="cellIs" dxfId="323" priority="1" stopIfTrue="1" operator="between">
      <formula>0.8</formula>
      <formula>1</formula>
    </cfRule>
    <cfRule type="cellIs" dxfId="322" priority="2" stopIfTrue="1" operator="between">
      <formula>0.5</formula>
      <formula>0.79</formula>
    </cfRule>
    <cfRule type="cellIs" dxfId="321" priority="3" stopIfTrue="1" operator="between">
      <formula>0.3</formula>
      <formula>0.49</formula>
    </cfRule>
    <cfRule type="cellIs" dxfId="320" priority="4" stopIfTrue="1" operator="between">
      <formula>0</formula>
      <formula>0.29</formula>
    </cfRule>
  </conditionalFormatting>
  <conditionalFormatting sqref="V7:V19">
    <cfRule type="cellIs" dxfId="319" priority="23" operator="between">
      <formula>0.19</formula>
      <formula>0</formula>
    </cfRule>
    <cfRule type="cellIs" dxfId="318" priority="24" operator="between">
      <formula>0.49</formula>
      <formula>0.2</formula>
    </cfRule>
    <cfRule type="cellIs" dxfId="317" priority="25" operator="between">
      <formula>0.89</formula>
      <formula>0.5</formula>
    </cfRule>
    <cfRule type="cellIs" dxfId="316" priority="26" operator="between">
      <formula>1</formula>
      <formula>0.9</formula>
    </cfRule>
  </conditionalFormatting>
  <conditionalFormatting sqref="W7:W19">
    <cfRule type="containsText" dxfId="315" priority="27" operator="containsText" text="Incumple">
      <formula>NOT(ISERROR(SEARCH("Incumple",W7)))</formula>
    </cfRule>
    <cfRule type="containsText" dxfId="314" priority="28" operator="containsText" text="Cumple">
      <formula>NOT(ISERROR(SEARCH("Cumple",W7)))</formula>
    </cfRule>
  </conditionalFormatting>
  <conditionalFormatting sqref="W20">
    <cfRule type="cellIs" dxfId="313" priority="15" operator="between">
      <formula>0.19</formula>
      <formula>0</formula>
    </cfRule>
    <cfRule type="cellIs" dxfId="312" priority="16" operator="between">
      <formula>0.49</formula>
      <formula>0.2</formula>
    </cfRule>
    <cfRule type="cellIs" dxfId="311" priority="17" operator="between">
      <formula>0.89</formula>
      <formula>0.5</formula>
    </cfRule>
    <cfRule type="cellIs" dxfId="310" priority="18" operator="between">
      <formula>1</formula>
      <formula>0.9</formula>
    </cfRule>
  </conditionalFormatting>
  <conditionalFormatting sqref="Z7:Z19">
    <cfRule type="cellIs" dxfId="309" priority="11" operator="between">
      <formula>0.19</formula>
      <formula>0</formula>
    </cfRule>
    <cfRule type="cellIs" dxfId="308" priority="12" operator="between">
      <formula>0.49</formula>
      <formula>0.2</formula>
    </cfRule>
    <cfRule type="cellIs" dxfId="307" priority="13" operator="between">
      <formula>0.89</formula>
      <formula>0.5</formula>
    </cfRule>
    <cfRule type="cellIs" dxfId="306" priority="14" operator="between">
      <formula>1</formula>
      <formula>0.9</formula>
    </cfRule>
  </conditionalFormatting>
  <conditionalFormatting sqref="AC7:AC20">
    <cfRule type="cellIs" dxfId="305" priority="5" operator="between">
      <formula>0.3</formula>
      <formula>0</formula>
    </cfRule>
    <cfRule type="cellIs" dxfId="304" priority="6" operator="between">
      <formula>0.6999</formula>
      <formula>0.3111</formula>
    </cfRule>
    <cfRule type="cellIs" dxfId="303" priority="7" operator="between">
      <formula>1</formula>
      <formula>0.7</formula>
    </cfRule>
  </conditionalFormatting>
  <dataValidations count="5">
    <dataValidation type="list" allowBlank="1" showInputMessage="1" showErrorMessage="1" sqref="K7:K19" xr:uid="{00000000-0002-0000-1400-000000000000}">
      <formula1>$AS$4:$AS$10</formula1>
    </dataValidation>
    <dataValidation type="list" allowBlank="1" showInputMessage="1" showErrorMessage="1" sqref="J7:J19" xr:uid="{00000000-0002-0000-1400-000001000000}">
      <formula1>$AR$4:$AR$10</formula1>
    </dataValidation>
    <dataValidation type="list" allowBlank="1" showInputMessage="1" showErrorMessage="1" sqref="A7:A19" xr:uid="{00000000-0002-0000-1400-000003000000}">
      <formula1>$AP$4:$AP$10</formula1>
    </dataValidation>
    <dataValidation type="list" allowBlank="1" showInputMessage="1" showErrorMessage="1" errorTitle="Estado" error="No es un estado de los Planes de Mejoramiento" sqref="Q4:S4" xr:uid="{00000000-0002-0000-1400-000004000000}">
      <formula1>$AW$4:$AW$7</formula1>
    </dataValidation>
    <dataValidation type="list" allowBlank="1" showInputMessage="1" showErrorMessage="1" sqref="B7:B19" xr:uid="{00000000-0002-0000-1400-000005000000}">
      <formula1>$AV$5:$AV$8</formula1>
    </dataValidation>
  </dataValidations>
  <pageMargins left="1.4960629921259843" right="0.70866141732283472" top="0.74803149606299213" bottom="0.74803149606299213" header="0.31496062992125984" footer="0.31496062992125984"/>
  <pageSetup scale="34" fitToWidth="0" orientation="landscape" r:id="rId1"/>
  <colBreaks count="2" manualBreakCount="2">
    <brk id="14" max="1048575" man="1"/>
    <brk id="25" max="1048575"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AV33"/>
  <sheetViews>
    <sheetView zoomScale="55" zoomScaleNormal="55" zoomScaleSheetLayoutView="49" workbookViewId="0">
      <selection activeCell="Y7" sqref="Y7"/>
    </sheetView>
  </sheetViews>
  <sheetFormatPr defaultColWidth="17.5703125" defaultRowHeight="15"/>
  <cols>
    <col min="1" max="1" width="12.140625" style="87" customWidth="1"/>
    <col min="2" max="2" width="11.42578125" style="87" customWidth="1"/>
    <col min="3" max="3" width="46.28515625" style="87" customWidth="1"/>
    <col min="4" max="4" width="44.140625" style="87" customWidth="1"/>
    <col min="5" max="5" width="36.7109375" style="87" customWidth="1"/>
    <col min="6" max="6" width="40.140625" style="87" customWidth="1"/>
    <col min="7" max="7" width="32.85546875" style="87" customWidth="1"/>
    <col min="8" max="8" width="13" style="82" customWidth="1"/>
    <col min="9" max="9" width="26.5703125" style="82" customWidth="1"/>
    <col min="10" max="10" width="16.140625" style="82" customWidth="1"/>
    <col min="11" max="11" width="21.42578125" style="82" customWidth="1"/>
    <col min="12" max="12" width="20.5703125" style="82" customWidth="1"/>
    <col min="13" max="13" width="12.7109375" style="82" customWidth="1"/>
    <col min="14" max="14" width="14" style="82" customWidth="1"/>
    <col min="15" max="15" width="12" style="81" customWidth="1"/>
    <col min="16" max="16" width="15.42578125" style="81" customWidth="1"/>
    <col min="17" max="17" width="13.140625" style="81" customWidth="1"/>
    <col min="18" max="18" width="11.5703125" style="81" customWidth="1"/>
    <col min="19" max="19" width="11.140625" style="81" customWidth="1"/>
    <col min="20" max="20" width="15" style="81" customWidth="1"/>
    <col min="21" max="21" width="16.5703125" style="88" customWidth="1"/>
    <col min="22" max="22" width="14.28515625" style="81" customWidth="1"/>
    <col min="23" max="23" width="16.7109375" style="81" customWidth="1"/>
    <col min="24" max="24" width="56.85546875" style="81" customWidth="1"/>
    <col min="25" max="25" width="59.85546875" style="81" customWidth="1"/>
    <col min="26" max="26" width="12.28515625" style="81" customWidth="1"/>
    <col min="27" max="27" width="13.42578125" style="81" customWidth="1"/>
    <col min="28" max="29" width="14.140625" style="81" customWidth="1"/>
    <col min="30" max="30" width="72.42578125" style="81" customWidth="1"/>
    <col min="42" max="42" width="28.5703125" hidden="1" customWidth="1"/>
    <col min="43" max="43" width="42" hidden="1" customWidth="1"/>
    <col min="44" max="44" width="0" hidden="1" customWidth="1"/>
    <col min="45" max="45" width="51.42578125" hidden="1" customWidth="1"/>
    <col min="46" max="46" width="8.5703125" hidden="1" customWidth="1"/>
    <col min="47" max="47" width="7.140625" hidden="1" customWidth="1"/>
    <col min="48" max="48" width="20.85546875" hidden="1" customWidth="1"/>
    <col min="49" max="49" width="0" hidden="1" customWidth="1"/>
    <col min="50" max="50" width="22.42578125" customWidth="1"/>
  </cols>
  <sheetData>
    <row r="1" spans="1:30" ht="105.6"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3" t="s">
        <v>1</v>
      </c>
      <c r="AA1" s="663"/>
      <c r="AB1" s="663"/>
      <c r="AC1" s="663"/>
      <c r="AD1" s="663"/>
    </row>
    <row r="2" spans="1:30" ht="20.100000000000001"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63"/>
      <c r="AA2" s="663"/>
      <c r="AB2" s="663"/>
      <c r="AC2" s="663"/>
      <c r="AD2" s="663"/>
    </row>
    <row r="3" spans="1:30" ht="25.5" customHeight="1">
      <c r="A3" s="677" t="s">
        <v>6</v>
      </c>
      <c r="B3" s="677"/>
      <c r="C3" s="663" t="s">
        <v>1019</v>
      </c>
      <c r="D3" s="663"/>
      <c r="E3" s="663"/>
      <c r="F3" s="663"/>
      <c r="G3" s="677" t="s">
        <v>8</v>
      </c>
      <c r="H3" s="677"/>
      <c r="I3" s="665" t="s">
        <v>1020</v>
      </c>
      <c r="J3" s="663"/>
      <c r="K3" s="663"/>
      <c r="L3" s="663"/>
      <c r="M3" s="663"/>
      <c r="N3" s="663"/>
      <c r="O3" s="677" t="s">
        <v>9</v>
      </c>
      <c r="P3" s="677"/>
      <c r="Q3" s="665">
        <v>45289</v>
      </c>
      <c r="R3" s="665"/>
      <c r="S3" s="665"/>
      <c r="T3" s="665"/>
      <c r="U3" s="665"/>
      <c r="V3" s="665"/>
      <c r="W3" s="677" t="s">
        <v>10</v>
      </c>
      <c r="X3" s="677"/>
      <c r="Y3" s="378" t="s">
        <v>916</v>
      </c>
      <c r="Z3" s="663"/>
      <c r="AA3" s="663"/>
      <c r="AB3" s="663"/>
      <c r="AC3" s="663"/>
      <c r="AD3" s="663"/>
    </row>
    <row r="4" spans="1:30" ht="25.5" customHeight="1" thickBot="1">
      <c r="A4" s="677" t="s">
        <v>12</v>
      </c>
      <c r="B4" s="677"/>
      <c r="C4" s="663" t="s">
        <v>1021</v>
      </c>
      <c r="D4" s="663"/>
      <c r="E4" s="663"/>
      <c r="F4" s="663"/>
      <c r="G4" s="677" t="s">
        <v>14</v>
      </c>
      <c r="H4" s="677"/>
      <c r="I4" s="665" t="s">
        <v>1022</v>
      </c>
      <c r="J4" s="665"/>
      <c r="K4" s="665"/>
      <c r="L4" s="665"/>
      <c r="M4" s="665"/>
      <c r="N4" s="665"/>
      <c r="O4" s="677" t="s">
        <v>15</v>
      </c>
      <c r="P4" s="677"/>
      <c r="Q4" s="663" t="s">
        <v>16</v>
      </c>
      <c r="R4" s="663"/>
      <c r="S4" s="663"/>
      <c r="T4" s="664" t="s">
        <v>17</v>
      </c>
      <c r="U4" s="664"/>
      <c r="V4" s="663"/>
      <c r="W4" s="663"/>
      <c r="X4" s="663"/>
      <c r="Y4" s="663"/>
      <c r="Z4" s="663"/>
      <c r="AA4" s="663"/>
      <c r="AB4" s="663"/>
      <c r="AC4" s="663"/>
      <c r="AD4" s="663"/>
    </row>
    <row r="5" spans="1:30" ht="28.5" customHeight="1" thickBot="1">
      <c r="A5" s="686" t="s">
        <v>18</v>
      </c>
      <c r="B5" s="687"/>
      <c r="C5" s="687"/>
      <c r="D5" s="687"/>
      <c r="E5" s="687"/>
      <c r="F5" s="687"/>
      <c r="G5" s="687"/>
      <c r="H5" s="687"/>
      <c r="I5" s="687"/>
      <c r="J5" s="687"/>
      <c r="K5" s="687"/>
      <c r="L5" s="687"/>
      <c r="M5" s="687"/>
      <c r="N5" s="688"/>
      <c r="O5" s="680" t="s">
        <v>19</v>
      </c>
      <c r="P5" s="681"/>
      <c r="Q5" s="681"/>
      <c r="R5" s="681"/>
      <c r="S5" s="681"/>
      <c r="T5" s="681"/>
      <c r="U5" s="681"/>
      <c r="V5" s="681"/>
      <c r="W5" s="681"/>
      <c r="X5" s="681"/>
      <c r="Y5" s="682"/>
      <c r="Z5" s="683" t="s">
        <v>20</v>
      </c>
      <c r="AA5" s="684"/>
      <c r="AB5" s="684"/>
      <c r="AC5" s="684"/>
      <c r="AD5" s="685"/>
    </row>
    <row r="6" spans="1:30" ht="68.25" customHeight="1" thickBot="1">
      <c r="A6" s="379" t="s">
        <v>21</v>
      </c>
      <c r="B6" s="379" t="s">
        <v>22</v>
      </c>
      <c r="C6" s="379" t="s">
        <v>770</v>
      </c>
      <c r="D6" s="379" t="s">
        <v>24</v>
      </c>
      <c r="E6" s="379" t="s">
        <v>25</v>
      </c>
      <c r="F6" s="379" t="s">
        <v>26</v>
      </c>
      <c r="G6" s="379" t="s">
        <v>27</v>
      </c>
      <c r="H6" s="379" t="s">
        <v>28</v>
      </c>
      <c r="I6" s="379" t="s">
        <v>29</v>
      </c>
      <c r="J6" s="379" t="s">
        <v>30</v>
      </c>
      <c r="K6" s="379" t="s">
        <v>31</v>
      </c>
      <c r="L6" s="379" t="s">
        <v>32</v>
      </c>
      <c r="M6" s="379" t="s">
        <v>33</v>
      </c>
      <c r="N6" s="379" t="s">
        <v>34</v>
      </c>
      <c r="O6" s="380" t="s">
        <v>35</v>
      </c>
      <c r="P6" s="380" t="s">
        <v>36</v>
      </c>
      <c r="Q6" s="380" t="s">
        <v>37</v>
      </c>
      <c r="R6" s="380" t="s">
        <v>38</v>
      </c>
      <c r="S6" s="380" t="s">
        <v>39</v>
      </c>
      <c r="T6" s="380" t="s">
        <v>40</v>
      </c>
      <c r="U6" s="380" t="s">
        <v>41</v>
      </c>
      <c r="V6" s="380" t="s">
        <v>42</v>
      </c>
      <c r="W6" s="380" t="s">
        <v>43</v>
      </c>
      <c r="X6" s="380" t="s">
        <v>44</v>
      </c>
      <c r="Y6" s="380" t="s">
        <v>45</v>
      </c>
      <c r="Z6" s="381" t="s">
        <v>46</v>
      </c>
      <c r="AA6" s="381" t="s">
        <v>771</v>
      </c>
      <c r="AB6" s="381" t="s">
        <v>48</v>
      </c>
      <c r="AC6" s="381" t="s">
        <v>49</v>
      </c>
      <c r="AD6" s="381" t="s">
        <v>50</v>
      </c>
    </row>
    <row r="7" spans="1:30" ht="156" customHeight="1">
      <c r="A7" s="292" t="s">
        <v>52</v>
      </c>
      <c r="B7" s="292" t="s">
        <v>583</v>
      </c>
      <c r="C7" s="230" t="s">
        <v>1023</v>
      </c>
      <c r="D7" s="718" t="s">
        <v>1024</v>
      </c>
      <c r="E7" s="718" t="s">
        <v>1025</v>
      </c>
      <c r="F7" s="220" t="s">
        <v>1026</v>
      </c>
      <c r="G7" s="220" t="s">
        <v>1027</v>
      </c>
      <c r="H7" s="409">
        <v>1</v>
      </c>
      <c r="I7" s="384" t="s">
        <v>1028</v>
      </c>
      <c r="J7" s="384" t="s">
        <v>590</v>
      </c>
      <c r="K7" s="384" t="s">
        <v>778</v>
      </c>
      <c r="L7" s="384" t="s">
        <v>1029</v>
      </c>
      <c r="M7" s="385">
        <v>44432</v>
      </c>
      <c r="N7" s="385">
        <v>44620</v>
      </c>
      <c r="O7" s="386">
        <f>(N7-M7)/7</f>
        <v>26.857142857142858</v>
      </c>
      <c r="P7" s="415" t="s">
        <v>1030</v>
      </c>
      <c r="Q7" s="410">
        <v>44816</v>
      </c>
      <c r="R7" s="389">
        <f>(Q7-M7)/7-O7</f>
        <v>27.999999999999996</v>
      </c>
      <c r="S7" s="390" t="str">
        <f ca="1">IF((N7-TODAY())/7&gt;=0,"En tiempo","Alerta")</f>
        <v>Alerta</v>
      </c>
      <c r="T7" s="391">
        <v>1</v>
      </c>
      <c r="U7" s="190">
        <f>T7/H7</f>
        <v>1</v>
      </c>
      <c r="V7" s="392">
        <f>IF(R7&gt;O7,0%,IF(R7&lt;=0,"100%",1-(R7/O7)))</f>
        <v>0</v>
      </c>
      <c r="W7" s="393" t="str">
        <f>IF(Q7&lt;=N7,"Cumple","Incumple")</f>
        <v>Incumple</v>
      </c>
      <c r="X7" s="269" t="s">
        <v>1031</v>
      </c>
      <c r="Y7" s="269" t="s">
        <v>1032</v>
      </c>
      <c r="Z7" s="392">
        <f>(U7+V7)/2</f>
        <v>0.5</v>
      </c>
      <c r="AA7" s="396">
        <v>1</v>
      </c>
      <c r="AB7" s="396">
        <v>0.8</v>
      </c>
      <c r="AC7" s="397">
        <f>AVERAGE(Z7:AB7)</f>
        <v>0.76666666666666661</v>
      </c>
      <c r="AD7" s="398" t="s">
        <v>1033</v>
      </c>
    </row>
    <row r="8" spans="1:30" ht="192" customHeight="1">
      <c r="A8" s="292"/>
      <c r="B8" s="292"/>
      <c r="C8" s="230"/>
      <c r="D8" s="718"/>
      <c r="E8" s="718"/>
      <c r="F8" s="220" t="s">
        <v>1034</v>
      </c>
      <c r="G8" s="220" t="s">
        <v>1027</v>
      </c>
      <c r="H8" s="409">
        <v>1</v>
      </c>
      <c r="I8" s="384" t="s">
        <v>1035</v>
      </c>
      <c r="J8" s="384" t="s">
        <v>590</v>
      </c>
      <c r="K8" s="384" t="s">
        <v>778</v>
      </c>
      <c r="L8" s="384" t="s">
        <v>1029</v>
      </c>
      <c r="M8" s="385">
        <v>44432</v>
      </c>
      <c r="N8" s="385">
        <v>44620</v>
      </c>
      <c r="O8" s="386">
        <f>(N8-M8)/7</f>
        <v>26.857142857142858</v>
      </c>
      <c r="P8" s="557" t="s">
        <v>1036</v>
      </c>
      <c r="Q8" s="560">
        <v>45289</v>
      </c>
      <c r="R8" s="389">
        <f>(Q8-M8)/7-O8</f>
        <v>95.571428571428569</v>
      </c>
      <c r="S8" s="390" t="str">
        <f ca="1">IF((N8-TODAY())/7&gt;=0,"En tiempo","Alerta")</f>
        <v>Alerta</v>
      </c>
      <c r="T8" s="391">
        <v>0.4</v>
      </c>
      <c r="U8" s="190">
        <f>T8/H8</f>
        <v>0.4</v>
      </c>
      <c r="V8" s="392">
        <f>IF(R8&gt;O8,0%,IF(R8&lt;=0,"100%",1-(R8/O8)))</f>
        <v>0</v>
      </c>
      <c r="W8" s="393" t="str">
        <f>IF(Q8&lt;=N8,"Cumple","Incumple")</f>
        <v>Incumple</v>
      </c>
      <c r="X8" s="626" t="s">
        <v>1037</v>
      </c>
      <c r="Y8" s="626" t="s">
        <v>1038</v>
      </c>
      <c r="Z8" s="392">
        <f>(U8+V8)/2</f>
        <v>0.2</v>
      </c>
      <c r="AA8" s="396"/>
      <c r="AB8" s="396"/>
      <c r="AC8" s="397"/>
      <c r="AD8" s="398" t="s">
        <v>1039</v>
      </c>
    </row>
    <row r="9" spans="1:30" ht="150.75" customHeight="1">
      <c r="A9" s="292" t="s">
        <v>52</v>
      </c>
      <c r="B9" s="292" t="s">
        <v>583</v>
      </c>
      <c r="C9" s="416" t="s">
        <v>1040</v>
      </c>
      <c r="D9" s="718"/>
      <c r="E9" s="718"/>
      <c r="F9" s="220" t="s">
        <v>1041</v>
      </c>
      <c r="G9" s="220" t="s">
        <v>1027</v>
      </c>
      <c r="H9" s="409">
        <v>1</v>
      </c>
      <c r="I9" s="384" t="s">
        <v>1042</v>
      </c>
      <c r="J9" s="384" t="s">
        <v>590</v>
      </c>
      <c r="K9" s="384" t="s">
        <v>778</v>
      </c>
      <c r="L9" s="384" t="s">
        <v>1029</v>
      </c>
      <c r="M9" s="385">
        <v>44432</v>
      </c>
      <c r="N9" s="385">
        <v>44620</v>
      </c>
      <c r="O9" s="386">
        <f>(N9-M9)/7</f>
        <v>26.857142857142858</v>
      </c>
      <c r="P9" s="385">
        <v>44742</v>
      </c>
      <c r="Q9" s="410">
        <v>44816</v>
      </c>
      <c r="R9" s="389">
        <f>(Q9-M9)/7-O9</f>
        <v>27.999999999999996</v>
      </c>
      <c r="S9" s="390" t="str">
        <f ca="1">IF((N9-TODAY())/7&gt;=0,"En tiempo","Alerta")</f>
        <v>Alerta</v>
      </c>
      <c r="T9" s="391">
        <v>1</v>
      </c>
      <c r="U9" s="190">
        <f>T9/H9</f>
        <v>1</v>
      </c>
      <c r="V9" s="392">
        <f>IF(R9&gt;O9,0%,IF(R9&lt;=0,"100%",1-(R9/O9)))</f>
        <v>0</v>
      </c>
      <c r="W9" s="393" t="str">
        <f>IF(Q9&lt;=N9,"Cumple","Incumple")</f>
        <v>Incumple</v>
      </c>
      <c r="X9" s="627" t="s">
        <v>1043</v>
      </c>
      <c r="Y9" s="627" t="s">
        <v>1044</v>
      </c>
      <c r="Z9" s="392">
        <f>(U9+V9)/2</f>
        <v>0.5</v>
      </c>
      <c r="AA9" s="396">
        <v>0.8</v>
      </c>
      <c r="AB9" s="396">
        <v>0.7</v>
      </c>
      <c r="AC9" s="397">
        <f>AVERAGE(Z9:AB9)</f>
        <v>0.66666666666666663</v>
      </c>
      <c r="AD9" s="398" t="s">
        <v>1045</v>
      </c>
    </row>
    <row r="10" spans="1:30" ht="79.5" customHeight="1">
      <c r="A10" s="292" t="s">
        <v>52</v>
      </c>
      <c r="B10" s="292" t="s">
        <v>583</v>
      </c>
      <c r="C10" s="230" t="s">
        <v>1046</v>
      </c>
      <c r="D10" s="718"/>
      <c r="E10" s="718"/>
      <c r="F10" s="723" t="s">
        <v>1047</v>
      </c>
      <c r="G10" s="718" t="s">
        <v>1027</v>
      </c>
      <c r="H10" s="724">
        <v>1</v>
      </c>
      <c r="I10" s="725" t="s">
        <v>1042</v>
      </c>
      <c r="J10" s="726" t="s">
        <v>590</v>
      </c>
      <c r="K10" s="725" t="s">
        <v>778</v>
      </c>
      <c r="L10" s="725" t="s">
        <v>1029</v>
      </c>
      <c r="M10" s="737">
        <v>44432</v>
      </c>
      <c r="N10" s="737">
        <v>44620</v>
      </c>
      <c r="O10" s="738">
        <f>(N10-M10)/7</f>
        <v>26.857142857142858</v>
      </c>
      <c r="P10" s="739" t="s">
        <v>1048</v>
      </c>
      <c r="Q10" s="740">
        <v>44742</v>
      </c>
      <c r="R10" s="734">
        <f t="shared" ref="R10" si="0">(Q10-M10)/7-O10</f>
        <v>17.428571428571427</v>
      </c>
      <c r="S10" s="735" t="str">
        <f ca="1">IF((N10-TODAY())/7&gt;=0,"En tiempo","Alerta")</f>
        <v>Alerta</v>
      </c>
      <c r="T10" s="736">
        <v>1</v>
      </c>
      <c r="U10" s="728">
        <f t="shared" ref="U10" si="1">T10/H10</f>
        <v>1</v>
      </c>
      <c r="V10" s="720">
        <f>IF(R10&gt;O10,0%,IF(R10&lt;=0,"100%",1-(R10/O10)))</f>
        <v>0.35106382978723416</v>
      </c>
      <c r="W10" s="722" t="str">
        <f>IF(Q10&lt;=N10,"Cumple","Incumple")</f>
        <v>Incumple</v>
      </c>
      <c r="X10" s="719" t="s">
        <v>1049</v>
      </c>
      <c r="Y10" s="721" t="s">
        <v>1050</v>
      </c>
      <c r="Z10" s="731">
        <f>(U10+V10)/2</f>
        <v>0.67553191489361708</v>
      </c>
      <c r="AA10" s="730">
        <v>0.7</v>
      </c>
      <c r="AB10" s="730">
        <v>0.4</v>
      </c>
      <c r="AC10" s="732">
        <f>AVERAGE(Z10:AB10)</f>
        <v>0.59184397163120561</v>
      </c>
      <c r="AD10" s="729" t="s">
        <v>1051</v>
      </c>
    </row>
    <row r="11" spans="1:30" ht="126" customHeight="1">
      <c r="A11" s="292" t="s">
        <v>52</v>
      </c>
      <c r="B11" s="292" t="s">
        <v>583</v>
      </c>
      <c r="C11" s="230" t="s">
        <v>1052</v>
      </c>
      <c r="D11" s="718"/>
      <c r="E11" s="718"/>
      <c r="F11" s="723"/>
      <c r="G11" s="718"/>
      <c r="H11" s="724"/>
      <c r="I11" s="725"/>
      <c r="J11" s="726"/>
      <c r="K11" s="725"/>
      <c r="L11" s="725"/>
      <c r="M11" s="737"/>
      <c r="N11" s="737"/>
      <c r="O11" s="738"/>
      <c r="P11" s="739"/>
      <c r="Q11" s="740"/>
      <c r="R11" s="734"/>
      <c r="S11" s="735"/>
      <c r="T11" s="736"/>
      <c r="U11" s="728"/>
      <c r="V11" s="720"/>
      <c r="W11" s="722"/>
      <c r="X11" s="719"/>
      <c r="Y11" s="721"/>
      <c r="Z11" s="731"/>
      <c r="AA11" s="730"/>
      <c r="AB11" s="730"/>
      <c r="AC11" s="732"/>
      <c r="AD11" s="729"/>
    </row>
    <row r="12" spans="1:30" ht="15.75" thickBot="1">
      <c r="A12"/>
      <c r="B12"/>
      <c r="C12"/>
      <c r="D12"/>
      <c r="E12"/>
      <c r="F12"/>
      <c r="G12" s="379" t="s">
        <v>153</v>
      </c>
      <c r="H12" s="386">
        <f>SUM(H7:H11)</f>
        <v>4</v>
      </c>
      <c r="I12"/>
      <c r="J12"/>
      <c r="K12"/>
      <c r="L12"/>
      <c r="M12"/>
      <c r="N12"/>
      <c r="O12"/>
      <c r="P12"/>
      <c r="Q12" s="733" t="s">
        <v>154</v>
      </c>
      <c r="R12" s="733"/>
      <c r="S12" s="733"/>
      <c r="T12" s="408">
        <f>SUM(T7:T11)</f>
        <v>3.4</v>
      </c>
      <c r="U12" s="161">
        <f>AVERAGE(U7:U11)</f>
        <v>0.85</v>
      </c>
      <c r="V12" s="407"/>
      <c r="W12" s="406">
        <f>(COUNTIF(W7:W11,"Cumple")*100%)/COUNTA(W7:W11)</f>
        <v>0</v>
      </c>
      <c r="X12"/>
      <c r="Y12"/>
      <c r="Z12" s="733" t="s">
        <v>154</v>
      </c>
      <c r="AA12" s="733"/>
      <c r="AB12" s="733"/>
      <c r="AC12" s="405">
        <f>AVERAGE(AC7:AC11)</f>
        <v>0.67505910165484628</v>
      </c>
      <c r="AD12"/>
    </row>
    <row r="13" spans="1:30">
      <c r="A13"/>
      <c r="B13"/>
      <c r="C13"/>
      <c r="D13"/>
      <c r="E13"/>
      <c r="F13"/>
      <c r="I13"/>
      <c r="J13"/>
      <c r="K13"/>
      <c r="L13"/>
      <c r="M13"/>
      <c r="N13"/>
      <c r="O13"/>
      <c r="P13"/>
      <c r="X13"/>
      <c r="Y13"/>
      <c r="AD13"/>
    </row>
    <row r="14" spans="1:30">
      <c r="A14"/>
      <c r="B14"/>
      <c r="C14"/>
      <c r="D14"/>
      <c r="E14"/>
      <c r="F14"/>
      <c r="I14"/>
      <c r="J14"/>
      <c r="K14"/>
      <c r="L14"/>
      <c r="M14"/>
      <c r="N14"/>
      <c r="O14"/>
      <c r="P14"/>
      <c r="U14" s="89"/>
      <c r="X14"/>
      <c r="Y14"/>
      <c r="AD14"/>
    </row>
    <row r="15" spans="1:30">
      <c r="A15"/>
      <c r="B15"/>
      <c r="C15"/>
      <c r="D15"/>
      <c r="E15"/>
      <c r="F15"/>
      <c r="I15"/>
      <c r="J15"/>
      <c r="K15"/>
      <c r="L15"/>
      <c r="M15"/>
      <c r="N15"/>
      <c r="O15"/>
      <c r="P15"/>
      <c r="Q15" s="90"/>
      <c r="U15" s="727"/>
      <c r="V15" s="727"/>
      <c r="X15"/>
      <c r="Y15"/>
      <c r="AB15"/>
      <c r="AC15"/>
      <c r="AD15"/>
    </row>
    <row r="16" spans="1:30">
      <c r="A16"/>
      <c r="B16"/>
      <c r="C16"/>
      <c r="D16"/>
      <c r="E16"/>
      <c r="F16"/>
      <c r="I16"/>
      <c r="J16"/>
      <c r="K16"/>
      <c r="L16"/>
      <c r="M16"/>
      <c r="N16"/>
      <c r="O16"/>
      <c r="P16"/>
      <c r="X16"/>
      <c r="Y16"/>
      <c r="AB16"/>
      <c r="AC16"/>
      <c r="AD16"/>
    </row>
    <row r="17" spans="1:30">
      <c r="A17"/>
      <c r="B17"/>
      <c r="C17"/>
      <c r="D17"/>
      <c r="E17"/>
      <c r="F17"/>
      <c r="I17"/>
      <c r="J17"/>
      <c r="K17"/>
      <c r="L17"/>
      <c r="M17"/>
      <c r="N17"/>
      <c r="O17"/>
      <c r="P17"/>
      <c r="X17"/>
      <c r="Y17"/>
      <c r="AB17"/>
      <c r="AC17"/>
      <c r="AD17"/>
    </row>
    <row r="18" spans="1:30">
      <c r="A18"/>
      <c r="B18"/>
      <c r="C18"/>
      <c r="D18"/>
      <c r="E18"/>
      <c r="F18"/>
      <c r="I18"/>
      <c r="J18"/>
      <c r="K18"/>
      <c r="L18"/>
      <c r="M18"/>
      <c r="N18"/>
      <c r="O18"/>
      <c r="P18"/>
      <c r="X18"/>
      <c r="Y18"/>
      <c r="AB18"/>
      <c r="AC18"/>
      <c r="AD18"/>
    </row>
    <row r="19" spans="1:30">
      <c r="A19"/>
      <c r="B19"/>
      <c r="C19"/>
      <c r="D19"/>
      <c r="E19"/>
      <c r="F19"/>
      <c r="I19"/>
      <c r="J19"/>
      <c r="K19"/>
      <c r="L19"/>
      <c r="M19"/>
      <c r="N19"/>
      <c r="O19"/>
      <c r="P19"/>
      <c r="X19"/>
      <c r="Y19"/>
      <c r="AB19"/>
      <c r="AC19"/>
      <c r="AD19"/>
    </row>
    <row r="20" spans="1:30">
      <c r="A20"/>
      <c r="B20"/>
      <c r="C20"/>
      <c r="D20"/>
      <c r="E20"/>
      <c r="F20"/>
      <c r="I20"/>
      <c r="J20"/>
      <c r="K20"/>
      <c r="L20"/>
      <c r="M20"/>
      <c r="N20"/>
      <c r="O20"/>
      <c r="P20"/>
      <c r="X20"/>
      <c r="Y20"/>
      <c r="AB20"/>
      <c r="AC20"/>
      <c r="AD20"/>
    </row>
    <row r="21" spans="1:30">
      <c r="A21"/>
      <c r="B21"/>
      <c r="C21"/>
      <c r="D21"/>
      <c r="E21"/>
      <c r="F21"/>
      <c r="I21"/>
      <c r="J21"/>
      <c r="K21"/>
      <c r="L21"/>
      <c r="M21"/>
      <c r="N21"/>
      <c r="O21"/>
      <c r="P21"/>
      <c r="X21"/>
      <c r="Y21"/>
      <c r="AB21"/>
      <c r="AC21"/>
      <c r="AD21"/>
    </row>
    <row r="22" spans="1:30">
      <c r="A22"/>
      <c r="B22"/>
      <c r="C22"/>
      <c r="D22"/>
      <c r="E22"/>
      <c r="F22"/>
      <c r="I22"/>
      <c r="J22"/>
      <c r="K22"/>
      <c r="L22"/>
      <c r="M22"/>
      <c r="N22"/>
      <c r="O22"/>
      <c r="P22"/>
      <c r="X22"/>
      <c r="Y22"/>
      <c r="AB22"/>
      <c r="AC22"/>
      <c r="AD22"/>
    </row>
    <row r="23" spans="1:30">
      <c r="A23"/>
      <c r="B23"/>
      <c r="C23"/>
      <c r="D23"/>
      <c r="E23"/>
      <c r="F23"/>
      <c r="I23"/>
      <c r="J23"/>
      <c r="K23"/>
      <c r="L23"/>
      <c r="M23"/>
      <c r="N23"/>
      <c r="O23"/>
      <c r="P23"/>
      <c r="X23"/>
      <c r="Y23"/>
      <c r="AB23"/>
      <c r="AC23"/>
      <c r="AD23"/>
    </row>
    <row r="24" spans="1:30">
      <c r="A24"/>
      <c r="B24"/>
      <c r="C24"/>
      <c r="D24"/>
      <c r="E24"/>
      <c r="F24"/>
      <c r="X24"/>
      <c r="Y24"/>
      <c r="AB24"/>
      <c r="AC24"/>
      <c r="AD24"/>
    </row>
    <row r="25" spans="1:30">
      <c r="A25"/>
      <c r="B25"/>
      <c r="C25"/>
      <c r="D25"/>
      <c r="E25"/>
      <c r="F25"/>
      <c r="X25"/>
      <c r="Y25"/>
    </row>
    <row r="26" spans="1:30">
      <c r="A26"/>
      <c r="B26"/>
      <c r="C26"/>
      <c r="D26"/>
      <c r="E26"/>
      <c r="F26"/>
      <c r="X26"/>
      <c r="Y26"/>
    </row>
    <row r="27" spans="1:30">
      <c r="A27"/>
      <c r="B27"/>
      <c r="C27"/>
      <c r="D27"/>
      <c r="E27"/>
      <c r="F27"/>
    </row>
    <row r="28" spans="1:30">
      <c r="A28"/>
      <c r="B28"/>
      <c r="C28"/>
      <c r="D28"/>
      <c r="E28"/>
      <c r="F28"/>
    </row>
    <row r="29" spans="1:30">
      <c r="A29"/>
      <c r="B29"/>
      <c r="C29"/>
      <c r="D29"/>
      <c r="E29"/>
      <c r="F29"/>
    </row>
    <row r="30" spans="1:30">
      <c r="A30"/>
      <c r="B30"/>
      <c r="C30"/>
      <c r="D30"/>
      <c r="E30"/>
      <c r="F30"/>
    </row>
    <row r="31" spans="1:30">
      <c r="A31"/>
      <c r="B31"/>
      <c r="C31"/>
      <c r="D31"/>
      <c r="E31"/>
      <c r="F31"/>
    </row>
    <row r="32" spans="1:30">
      <c r="A32"/>
      <c r="B32"/>
      <c r="C32"/>
      <c r="D32"/>
      <c r="E32"/>
      <c r="F32"/>
    </row>
    <row r="33" spans="1:6">
      <c r="A33"/>
      <c r="B33"/>
      <c r="C33"/>
      <c r="D33"/>
      <c r="E33"/>
      <c r="F33"/>
    </row>
  </sheetData>
  <dataConsolidate/>
  <mergeCells count="57">
    <mergeCell ref="Q12:S12"/>
    <mergeCell ref="A5:N5"/>
    <mergeCell ref="O5:Y5"/>
    <mergeCell ref="Z5:AD5"/>
    <mergeCell ref="R10:R11"/>
    <mergeCell ref="S10:S11"/>
    <mergeCell ref="T10:T11"/>
    <mergeCell ref="M10:M11"/>
    <mergeCell ref="N10:N11"/>
    <mergeCell ref="O10:O11"/>
    <mergeCell ref="P10:P11"/>
    <mergeCell ref="Q10:Q11"/>
    <mergeCell ref="U15:V15"/>
    <mergeCell ref="U10:U11"/>
    <mergeCell ref="AD10:AD11"/>
    <mergeCell ref="AA10:AA11"/>
    <mergeCell ref="AB10:AB11"/>
    <mergeCell ref="Z10:Z11"/>
    <mergeCell ref="AC10:AC11"/>
    <mergeCell ref="Z12:AB12"/>
    <mergeCell ref="T4:U4"/>
    <mergeCell ref="V4:Y4"/>
    <mergeCell ref="D7:D11"/>
    <mergeCell ref="E7:E11"/>
    <mergeCell ref="Q4:S4"/>
    <mergeCell ref="X10:X11"/>
    <mergeCell ref="V10:V11"/>
    <mergeCell ref="Y10:Y11"/>
    <mergeCell ref="W10:W11"/>
    <mergeCell ref="F10:F11"/>
    <mergeCell ref="G10:G11"/>
    <mergeCell ref="H10:H11"/>
    <mergeCell ref="I10:I11"/>
    <mergeCell ref="J10:J11"/>
    <mergeCell ref="K10:K11"/>
    <mergeCell ref="L10:L11"/>
    <mergeCell ref="A4:B4"/>
    <mergeCell ref="C4:F4"/>
    <mergeCell ref="G4:H4"/>
    <mergeCell ref="I4:N4"/>
    <mergeCell ref="O4:P4"/>
    <mergeCell ref="Q1:Y2"/>
    <mergeCell ref="Z1:AD4"/>
    <mergeCell ref="W3:X3"/>
    <mergeCell ref="O1:P2"/>
    <mergeCell ref="A2:B2"/>
    <mergeCell ref="C2:F2"/>
    <mergeCell ref="G2:H2"/>
    <mergeCell ref="I2:N2"/>
    <mergeCell ref="Q3:V3"/>
    <mergeCell ref="A1:B1"/>
    <mergeCell ref="C1:N1"/>
    <mergeCell ref="A3:B3"/>
    <mergeCell ref="C3:F3"/>
    <mergeCell ref="G3:H3"/>
    <mergeCell ref="I3:N3"/>
    <mergeCell ref="O3:P3"/>
  </mergeCells>
  <conditionalFormatting sqref="R7:R10">
    <cfRule type="cellIs" dxfId="302" priority="33" operator="greaterThan">
      <formula>0</formula>
    </cfRule>
    <cfRule type="cellIs" dxfId="301" priority="34" operator="lessThan">
      <formula>0</formula>
    </cfRule>
  </conditionalFormatting>
  <conditionalFormatting sqref="S7:S10">
    <cfRule type="containsText" dxfId="300" priority="31" operator="containsText" text="Alerta">
      <formula>NOT(ISERROR(SEARCH("Alerta",S7)))</formula>
    </cfRule>
    <cfRule type="containsText" dxfId="299" priority="32" operator="containsText" text="En tiempo">
      <formula>NOT(ISERROR(SEARCH("En tiempo",S7)))</formula>
    </cfRule>
  </conditionalFormatting>
  <conditionalFormatting sqref="U7:U10 U12">
    <cfRule type="cellIs" dxfId="298" priority="3" stopIfTrue="1" operator="between">
      <formula>0.8</formula>
      <formula>1</formula>
    </cfRule>
    <cfRule type="cellIs" dxfId="297" priority="4" stopIfTrue="1" operator="between">
      <formula>0.5</formula>
      <formula>0.79</formula>
    </cfRule>
    <cfRule type="cellIs" dxfId="296" priority="5" stopIfTrue="1" operator="between">
      <formula>0.3</formula>
      <formula>0.49</formula>
    </cfRule>
    <cfRule type="cellIs" dxfId="295" priority="6" stopIfTrue="1" operator="between">
      <formula>0</formula>
      <formula>0.29</formula>
    </cfRule>
  </conditionalFormatting>
  <conditionalFormatting sqref="V7:V10">
    <cfRule type="cellIs" dxfId="294" priority="25" operator="between">
      <formula>0.19</formula>
      <formula>0</formula>
    </cfRule>
    <cfRule type="cellIs" dxfId="293" priority="26" operator="between">
      <formula>0.49</formula>
      <formula>0.2</formula>
    </cfRule>
    <cfRule type="cellIs" dxfId="292" priority="27" operator="between">
      <formula>0.89</formula>
      <formula>0.5</formula>
    </cfRule>
    <cfRule type="cellIs" dxfId="291" priority="28" operator="between">
      <formula>1</formula>
      <formula>0.9</formula>
    </cfRule>
  </conditionalFormatting>
  <conditionalFormatting sqref="W7:W10">
    <cfRule type="containsText" dxfId="290" priority="29" operator="containsText" text="Incumple">
      <formula>NOT(ISERROR(SEARCH("Incumple",W7)))</formula>
    </cfRule>
    <cfRule type="containsText" dxfId="289" priority="30" operator="containsText" text="Cumple">
      <formula>NOT(ISERROR(SEARCH("Cumple",W7)))</formula>
    </cfRule>
  </conditionalFormatting>
  <conditionalFormatting sqref="W12">
    <cfRule type="cellIs" dxfId="288" priority="17" operator="between">
      <formula>0.19</formula>
      <formula>0</formula>
    </cfRule>
    <cfRule type="cellIs" dxfId="287" priority="18" operator="between">
      <formula>0.49</formula>
      <formula>0.2</formula>
    </cfRule>
    <cfRule type="cellIs" dxfId="286" priority="19" operator="between">
      <formula>0.89</formula>
      <formula>0.5</formula>
    </cfRule>
    <cfRule type="cellIs" dxfId="285" priority="20" operator="between">
      <formula>1</formula>
      <formula>0.9</formula>
    </cfRule>
  </conditionalFormatting>
  <conditionalFormatting sqref="Z7:Z10">
    <cfRule type="cellIs" dxfId="284" priority="13" operator="between">
      <formula>0.19</formula>
      <formula>0</formula>
    </cfRule>
    <cfRule type="cellIs" dxfId="283" priority="14" operator="between">
      <formula>0.49</formula>
      <formula>0.2</formula>
    </cfRule>
    <cfRule type="cellIs" dxfId="282" priority="15" operator="between">
      <formula>0.89</formula>
      <formula>0.5</formula>
    </cfRule>
    <cfRule type="cellIs" dxfId="281" priority="16" operator="between">
      <formula>1</formula>
      <formula>0.9</formula>
    </cfRule>
  </conditionalFormatting>
  <conditionalFormatting sqref="AC7:AC10">
    <cfRule type="cellIs" dxfId="280" priority="7" operator="between">
      <formula>0.3</formula>
      <formula>0</formula>
    </cfRule>
    <cfRule type="cellIs" dxfId="279" priority="8" operator="between">
      <formula>0.6999</formula>
      <formula>0.3111</formula>
    </cfRule>
    <cfRule type="cellIs" dxfId="278" priority="9" operator="between">
      <formula>1</formula>
      <formula>0.7</formula>
    </cfRule>
  </conditionalFormatting>
  <conditionalFormatting sqref="AC12">
    <cfRule type="cellIs" dxfId="277" priority="10" operator="between">
      <formula>0.3</formula>
      <formula>0</formula>
    </cfRule>
    <cfRule type="cellIs" dxfId="276" priority="11" operator="between">
      <formula>0.6999</formula>
      <formula>0.3111</formula>
    </cfRule>
    <cfRule type="cellIs" dxfId="275" priority="12" operator="between">
      <formula>1</formula>
      <formula>0.7</formula>
    </cfRule>
  </conditionalFormatting>
  <dataValidations count="5">
    <dataValidation type="list" allowBlank="1" showInputMessage="1" showErrorMessage="1" sqref="B7:B11" xr:uid="{00000000-0002-0000-1700-000000000000}">
      <formula1>$AV$5:$AV$9</formula1>
    </dataValidation>
    <dataValidation type="list" allowBlank="1" showInputMessage="1" showErrorMessage="1" errorTitle="Estado" error="No es un estado de los Planes de Mejoramiento" sqref="Q4:S4" xr:uid="{00000000-0002-0000-1700-000001000000}">
      <formula1>$AW$4:$AW$7</formula1>
    </dataValidation>
    <dataValidation type="list" allowBlank="1" showInputMessage="1" showErrorMessage="1" sqref="A7:A11" xr:uid="{00000000-0002-0000-1700-000002000000}">
      <formula1>$AP$4:$AP$11</formula1>
    </dataValidation>
    <dataValidation type="list" allowBlank="1" showInputMessage="1" showErrorMessage="1" sqref="J7:J10" xr:uid="{00000000-0002-0000-1700-000004000000}">
      <formula1>$AR$4:$AR$11</formula1>
    </dataValidation>
    <dataValidation type="list" allowBlank="1" showInputMessage="1" showErrorMessage="1" sqref="K7:K10" xr:uid="{00000000-0002-0000-1700-000005000000}">
      <formula1>$AS$4:$AS$11</formula1>
    </dataValidation>
  </dataValidations>
  <pageMargins left="1.4960629921259843" right="0.70866141732283472" top="0.74803149606299213" bottom="0.74803149606299213" header="0.31496062992125984" footer="0.31496062992125984"/>
  <pageSetup scale="34" fitToWidth="0" orientation="landscape" r:id="rId1"/>
  <colBreaks count="2" manualBreakCount="2">
    <brk id="14" max="1048575" man="1"/>
    <brk id="25" max="104857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AX13"/>
  <sheetViews>
    <sheetView zoomScale="40" zoomScaleNormal="40" zoomScaleSheetLayoutView="49" workbookViewId="0">
      <selection activeCell="X6" sqref="X6"/>
    </sheetView>
  </sheetViews>
  <sheetFormatPr defaultColWidth="17.5703125" defaultRowHeight="12.75"/>
  <cols>
    <col min="1" max="1" width="12.140625" customWidth="1"/>
    <col min="2" max="2" width="11.42578125" customWidth="1"/>
    <col min="3" max="3" width="46.28515625" customWidth="1"/>
    <col min="4" max="4" width="34.85546875" customWidth="1"/>
    <col min="5" max="5" width="36.7109375" customWidth="1"/>
    <col min="6" max="6" width="33.5703125" customWidth="1"/>
    <col min="7" max="7" width="25.140625" customWidth="1"/>
    <col min="8" max="8" width="13" customWidth="1"/>
    <col min="9" max="9" width="26.5703125" customWidth="1"/>
    <col min="10" max="10" width="16.140625" customWidth="1"/>
    <col min="11" max="11" width="21.42578125" customWidth="1"/>
    <col min="12" max="12" width="20.5703125" customWidth="1"/>
    <col min="13" max="13" width="12.7109375" customWidth="1"/>
    <col min="14" max="14" width="14" customWidth="1"/>
    <col min="15" max="15" width="12" customWidth="1"/>
    <col min="16" max="16" width="13.28515625" customWidth="1"/>
    <col min="17" max="17" width="13.140625" customWidth="1"/>
    <col min="18" max="18" width="11.5703125" customWidth="1"/>
    <col min="19" max="19" width="11.140625" customWidth="1"/>
    <col min="20" max="20" width="19.7109375" customWidth="1"/>
    <col min="21" max="21" width="16.5703125" customWidth="1"/>
    <col min="22" max="22" width="14.28515625" customWidth="1"/>
    <col min="23" max="23" width="16.7109375" customWidth="1"/>
    <col min="24" max="24" width="46.7109375" customWidth="1"/>
    <col min="25" max="25" width="65.28515625" customWidth="1"/>
    <col min="26" max="26" width="12.28515625" customWidth="1"/>
    <col min="27" max="27" width="13.42578125" customWidth="1"/>
    <col min="28" max="28" width="14.140625" customWidth="1"/>
    <col min="29" max="29" width="14.42578125" customWidth="1"/>
    <col min="30" max="30" width="72.42578125" customWidth="1"/>
    <col min="41" max="41" width="0" hidden="1" customWidth="1"/>
    <col min="42" max="42" width="28.5703125" hidden="1" customWidth="1"/>
    <col min="43" max="43" width="42" hidden="1" customWidth="1"/>
    <col min="44" max="44" width="17.5703125" hidden="1" customWidth="1"/>
    <col min="45" max="45" width="51.42578125" hidden="1" customWidth="1"/>
    <col min="46" max="46" width="8.5703125" hidden="1" customWidth="1"/>
    <col min="47" max="47" width="7.140625" hidden="1" customWidth="1"/>
    <col min="48" max="48" width="20.85546875" hidden="1" customWidth="1"/>
    <col min="49" max="49" width="17.5703125" hidden="1" customWidth="1"/>
    <col min="50" max="50" width="22.42578125" hidden="1" customWidth="1"/>
  </cols>
  <sheetData>
    <row r="1" spans="1:30" ht="105.6"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3" t="s">
        <v>1</v>
      </c>
      <c r="AA1" s="663"/>
      <c r="AB1" s="663"/>
      <c r="AC1" s="663"/>
      <c r="AD1" s="663"/>
    </row>
    <row r="2" spans="1:30" ht="20.100000000000001"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63"/>
      <c r="AA2" s="663"/>
      <c r="AB2" s="663"/>
      <c r="AC2" s="663"/>
      <c r="AD2" s="663"/>
    </row>
    <row r="3" spans="1:30" ht="25.5" customHeight="1">
      <c r="A3" s="677" t="s">
        <v>6</v>
      </c>
      <c r="B3" s="677"/>
      <c r="C3" s="663" t="s">
        <v>1019</v>
      </c>
      <c r="D3" s="663"/>
      <c r="E3" s="663"/>
      <c r="F3" s="663"/>
      <c r="G3" s="677" t="s">
        <v>8</v>
      </c>
      <c r="H3" s="677"/>
      <c r="I3" s="665">
        <v>43836</v>
      </c>
      <c r="J3" s="663"/>
      <c r="K3" s="663"/>
      <c r="L3" s="663"/>
      <c r="M3" s="663"/>
      <c r="N3" s="663"/>
      <c r="O3" s="677" t="s">
        <v>9</v>
      </c>
      <c r="P3" s="677"/>
      <c r="Q3" s="665">
        <v>45289</v>
      </c>
      <c r="R3" s="665"/>
      <c r="S3" s="665"/>
      <c r="T3" s="665"/>
      <c r="U3" s="665"/>
      <c r="V3" s="665"/>
      <c r="W3" s="677" t="s">
        <v>10</v>
      </c>
      <c r="X3" s="677"/>
      <c r="Y3" s="378" t="s">
        <v>916</v>
      </c>
      <c r="Z3" s="663"/>
      <c r="AA3" s="663"/>
      <c r="AB3" s="663"/>
      <c r="AC3" s="663"/>
      <c r="AD3" s="663"/>
    </row>
    <row r="4" spans="1:30" ht="49.5" customHeight="1" thickBot="1">
      <c r="A4" s="677" t="s">
        <v>12</v>
      </c>
      <c r="B4" s="677"/>
      <c r="C4" s="663" t="s">
        <v>1053</v>
      </c>
      <c r="D4" s="741"/>
      <c r="E4" s="741"/>
      <c r="F4" s="741"/>
      <c r="G4" s="677" t="s">
        <v>14</v>
      </c>
      <c r="H4" s="677"/>
      <c r="I4" s="665" t="s">
        <v>1054</v>
      </c>
      <c r="J4" s="665"/>
      <c r="K4" s="665"/>
      <c r="L4" s="665"/>
      <c r="M4" s="665"/>
      <c r="N4" s="665"/>
      <c r="O4" s="677" t="s">
        <v>15</v>
      </c>
      <c r="P4" s="677"/>
      <c r="Q4" s="663" t="s">
        <v>16</v>
      </c>
      <c r="R4" s="663"/>
      <c r="S4" s="663"/>
      <c r="T4" s="664" t="s">
        <v>17</v>
      </c>
      <c r="U4" s="664"/>
      <c r="V4" s="663" t="s">
        <v>1055</v>
      </c>
      <c r="W4" s="663"/>
      <c r="X4" s="663"/>
      <c r="Y4" s="663"/>
      <c r="Z4" s="663"/>
      <c r="AA4" s="663"/>
      <c r="AB4" s="663"/>
      <c r="AC4" s="663"/>
      <c r="AD4" s="663"/>
    </row>
    <row r="5" spans="1:30" ht="28.5" customHeight="1" thickBot="1">
      <c r="A5" s="686" t="s">
        <v>18</v>
      </c>
      <c r="B5" s="687"/>
      <c r="C5" s="687"/>
      <c r="D5" s="687"/>
      <c r="E5" s="687"/>
      <c r="F5" s="687"/>
      <c r="G5" s="687"/>
      <c r="H5" s="687"/>
      <c r="I5" s="687"/>
      <c r="J5" s="687"/>
      <c r="K5" s="687"/>
      <c r="L5" s="687"/>
      <c r="M5" s="687"/>
      <c r="N5" s="688"/>
      <c r="O5" s="680" t="s">
        <v>19</v>
      </c>
      <c r="P5" s="681"/>
      <c r="Q5" s="681"/>
      <c r="R5" s="681"/>
      <c r="S5" s="681"/>
      <c r="T5" s="681"/>
      <c r="U5" s="681"/>
      <c r="V5" s="681"/>
      <c r="W5" s="681"/>
      <c r="X5" s="681"/>
      <c r="Y5" s="682"/>
      <c r="Z5" s="683" t="s">
        <v>20</v>
      </c>
      <c r="AA5" s="684"/>
      <c r="AB5" s="684"/>
      <c r="AC5" s="684"/>
      <c r="AD5" s="685"/>
    </row>
    <row r="6" spans="1:30" ht="68.25" customHeight="1" thickBot="1">
      <c r="A6" s="379" t="s">
        <v>21</v>
      </c>
      <c r="B6" s="379" t="s">
        <v>22</v>
      </c>
      <c r="C6" s="379" t="s">
        <v>770</v>
      </c>
      <c r="D6" s="379" t="s">
        <v>24</v>
      </c>
      <c r="E6" s="379" t="s">
        <v>25</v>
      </c>
      <c r="F6" s="379" t="s">
        <v>26</v>
      </c>
      <c r="G6" s="379" t="s">
        <v>27</v>
      </c>
      <c r="H6" s="379" t="s">
        <v>28</v>
      </c>
      <c r="I6" s="379" t="s">
        <v>29</v>
      </c>
      <c r="J6" s="379" t="s">
        <v>30</v>
      </c>
      <c r="K6" s="379" t="s">
        <v>31</v>
      </c>
      <c r="L6" s="379" t="s">
        <v>32</v>
      </c>
      <c r="M6" s="379" t="s">
        <v>33</v>
      </c>
      <c r="N6" s="379" t="s">
        <v>34</v>
      </c>
      <c r="O6" s="380" t="s">
        <v>35</v>
      </c>
      <c r="P6" s="380" t="s">
        <v>36</v>
      </c>
      <c r="Q6" s="380" t="s">
        <v>37</v>
      </c>
      <c r="R6" s="380" t="s">
        <v>38</v>
      </c>
      <c r="S6" s="380" t="s">
        <v>39</v>
      </c>
      <c r="T6" s="380" t="s">
        <v>40</v>
      </c>
      <c r="U6" s="380" t="s">
        <v>41</v>
      </c>
      <c r="V6" s="380" t="s">
        <v>42</v>
      </c>
      <c r="W6" s="380" t="s">
        <v>43</v>
      </c>
      <c r="X6" s="380" t="s">
        <v>44</v>
      </c>
      <c r="Y6" s="380" t="s">
        <v>45</v>
      </c>
      <c r="Z6" s="381" t="s">
        <v>46</v>
      </c>
      <c r="AA6" s="381" t="s">
        <v>771</v>
      </c>
      <c r="AB6" s="381" t="s">
        <v>48</v>
      </c>
      <c r="AC6" s="381" t="s">
        <v>49</v>
      </c>
      <c r="AD6" s="381" t="s">
        <v>50</v>
      </c>
    </row>
    <row r="7" spans="1:30" ht="115.5">
      <c r="A7" s="292" t="s">
        <v>52</v>
      </c>
      <c r="B7" s="292" t="s">
        <v>583</v>
      </c>
      <c r="C7" s="230" t="s">
        <v>1056</v>
      </c>
      <c r="D7" s="220" t="s">
        <v>1057</v>
      </c>
      <c r="E7" s="230" t="s">
        <v>1058</v>
      </c>
      <c r="F7" s="230" t="s">
        <v>1059</v>
      </c>
      <c r="G7" s="220" t="s">
        <v>1060</v>
      </c>
      <c r="H7" s="409">
        <v>1</v>
      </c>
      <c r="I7" s="384" t="s">
        <v>1061</v>
      </c>
      <c r="J7" s="384" t="s">
        <v>600</v>
      </c>
      <c r="K7" s="384" t="s">
        <v>778</v>
      </c>
      <c r="L7" s="384" t="s">
        <v>1060</v>
      </c>
      <c r="M7" s="385">
        <v>44429</v>
      </c>
      <c r="N7" s="385">
        <v>44650</v>
      </c>
      <c r="O7" s="386">
        <f t="shared" ref="O7:O12" si="0">(N7-M7)/7</f>
        <v>31.571428571428573</v>
      </c>
      <c r="P7" s="547">
        <v>45254</v>
      </c>
      <c r="Q7" s="410">
        <v>44816</v>
      </c>
      <c r="R7" s="389">
        <f t="shared" ref="R7" si="1">(Q7-M7)/7-O7</f>
        <v>23.714285714285712</v>
      </c>
      <c r="S7" s="390" t="str">
        <f t="shared" ref="S7:S12" ca="1" si="2">IF((N7-TODAY())/7&gt;=0,"En tiempo","Alerta")</f>
        <v>Alerta</v>
      </c>
      <c r="T7" s="391">
        <v>0.85</v>
      </c>
      <c r="U7" s="190">
        <f t="shared" ref="U7:U12" si="3">IF(T7/H7=1,1,+T7/H7)</f>
        <v>0.85</v>
      </c>
      <c r="V7" s="392">
        <f t="shared" ref="V7:V11" si="4">IF(R7&gt;O7,0%,IF(R7&lt;=0,"100%",1-(R7/O7)))</f>
        <v>0.2488687782805431</v>
      </c>
      <c r="W7" s="393" t="str">
        <f t="shared" ref="W7:W11" si="5">IF(Q7&lt;=N7,"Cumple","Incumple")</f>
        <v>Incumple</v>
      </c>
      <c r="X7" s="627" t="s">
        <v>1062</v>
      </c>
      <c r="Y7" s="628" t="s">
        <v>1063</v>
      </c>
      <c r="Z7" s="392">
        <f t="shared" ref="Z7:Z12" si="6">(U7+V7)/2</f>
        <v>0.54943438914027154</v>
      </c>
      <c r="AA7" s="396"/>
      <c r="AB7" s="396"/>
      <c r="AC7" s="411"/>
      <c r="AD7" s="398" t="s">
        <v>935</v>
      </c>
    </row>
    <row r="8" spans="1:30" ht="203.25" customHeight="1">
      <c r="A8" s="292" t="s">
        <v>52</v>
      </c>
      <c r="B8" s="292" t="s">
        <v>583</v>
      </c>
      <c r="C8" s="230" t="s">
        <v>1064</v>
      </c>
      <c r="D8" s="220" t="s">
        <v>1057</v>
      </c>
      <c r="E8" s="412" t="s">
        <v>1065</v>
      </c>
      <c r="F8" s="220" t="s">
        <v>1066</v>
      </c>
      <c r="G8" s="220" t="s">
        <v>1067</v>
      </c>
      <c r="H8" s="409">
        <v>1</v>
      </c>
      <c r="I8" s="384" t="s">
        <v>1061</v>
      </c>
      <c r="J8" s="384" t="s">
        <v>600</v>
      </c>
      <c r="K8" s="384" t="s">
        <v>778</v>
      </c>
      <c r="L8" s="384" t="s">
        <v>1067</v>
      </c>
      <c r="M8" s="385">
        <v>44429</v>
      </c>
      <c r="N8" s="385">
        <v>44650</v>
      </c>
      <c r="O8" s="386">
        <f t="shared" si="0"/>
        <v>31.571428571428573</v>
      </c>
      <c r="P8" s="547">
        <v>45254</v>
      </c>
      <c r="Q8" s="410">
        <v>44816</v>
      </c>
      <c r="R8" s="389">
        <f>(Q8-M8)/7-O8</f>
        <v>23.714285714285712</v>
      </c>
      <c r="S8" s="390" t="str">
        <f t="shared" ca="1" si="2"/>
        <v>Alerta</v>
      </c>
      <c r="T8" s="391">
        <v>0.9</v>
      </c>
      <c r="U8" s="190">
        <f t="shared" si="3"/>
        <v>0.9</v>
      </c>
      <c r="V8" s="392">
        <f t="shared" si="4"/>
        <v>0.2488687782805431</v>
      </c>
      <c r="W8" s="393" t="str">
        <f t="shared" si="5"/>
        <v>Incumple</v>
      </c>
      <c r="X8" s="626" t="s">
        <v>1068</v>
      </c>
      <c r="Y8" s="628" t="s">
        <v>1069</v>
      </c>
      <c r="Z8" s="392">
        <f t="shared" si="6"/>
        <v>0.57443438914027156</v>
      </c>
      <c r="AA8" s="396">
        <v>0.8</v>
      </c>
      <c r="AB8" s="396">
        <v>0.6</v>
      </c>
      <c r="AC8" s="397">
        <f>AVERAGE(Z8:AB8)</f>
        <v>0.65814479638009049</v>
      </c>
      <c r="AD8" s="398" t="s">
        <v>1070</v>
      </c>
    </row>
    <row r="9" spans="1:30" ht="187.5">
      <c r="A9" s="292" t="s">
        <v>52</v>
      </c>
      <c r="B9" s="292" t="s">
        <v>583</v>
      </c>
      <c r="C9" s="394" t="s">
        <v>1071</v>
      </c>
      <c r="D9" s="413" t="s">
        <v>1072</v>
      </c>
      <c r="E9" s="230" t="s">
        <v>1073</v>
      </c>
      <c r="F9" s="412" t="s">
        <v>1074</v>
      </c>
      <c r="G9" s="220" t="s">
        <v>825</v>
      </c>
      <c r="H9" s="409">
        <v>1</v>
      </c>
      <c r="I9" s="384" t="s">
        <v>1075</v>
      </c>
      <c r="J9" s="384" t="s">
        <v>600</v>
      </c>
      <c r="K9" s="384" t="s">
        <v>778</v>
      </c>
      <c r="L9" s="384" t="s">
        <v>825</v>
      </c>
      <c r="M9" s="385">
        <v>44429</v>
      </c>
      <c r="N9" s="385">
        <v>44560</v>
      </c>
      <c r="O9" s="386">
        <f t="shared" si="0"/>
        <v>18.714285714285715</v>
      </c>
      <c r="P9" s="547">
        <v>45289</v>
      </c>
      <c r="Q9" s="560">
        <v>45289</v>
      </c>
      <c r="R9" s="389">
        <f>(Q9-M9)/7-O9</f>
        <v>104.14285714285714</v>
      </c>
      <c r="S9" s="390" t="str">
        <f t="shared" ca="1" si="2"/>
        <v>Alerta</v>
      </c>
      <c r="T9" s="391">
        <v>0.5</v>
      </c>
      <c r="U9" s="190">
        <f t="shared" si="3"/>
        <v>0.5</v>
      </c>
      <c r="V9" s="392">
        <f t="shared" si="4"/>
        <v>0</v>
      </c>
      <c r="W9" s="393" t="str">
        <f t="shared" si="5"/>
        <v>Incumple</v>
      </c>
      <c r="X9" s="627" t="s">
        <v>1076</v>
      </c>
      <c r="Y9" s="629" t="s">
        <v>1077</v>
      </c>
      <c r="Z9" s="392">
        <f t="shared" si="6"/>
        <v>0.25</v>
      </c>
      <c r="AA9" s="396"/>
      <c r="AB9" s="396"/>
      <c r="AC9" s="411"/>
      <c r="AD9" s="398" t="s">
        <v>1078</v>
      </c>
    </row>
    <row r="10" spans="1:30" ht="203.25" customHeight="1">
      <c r="A10" s="292" t="s">
        <v>52</v>
      </c>
      <c r="B10" s="292" t="s">
        <v>583</v>
      </c>
      <c r="C10" s="395" t="s">
        <v>1079</v>
      </c>
      <c r="D10" s="413" t="s">
        <v>1072</v>
      </c>
      <c r="E10" s="412" t="s">
        <v>1080</v>
      </c>
      <c r="F10" s="412" t="s">
        <v>1081</v>
      </c>
      <c r="G10" s="220" t="s">
        <v>825</v>
      </c>
      <c r="H10" s="220">
        <v>1</v>
      </c>
      <c r="I10" s="384" t="s">
        <v>1061</v>
      </c>
      <c r="J10" s="384" t="s">
        <v>600</v>
      </c>
      <c r="K10" s="384" t="s">
        <v>778</v>
      </c>
      <c r="L10" s="384" t="s">
        <v>825</v>
      </c>
      <c r="M10" s="385">
        <v>44429</v>
      </c>
      <c r="N10" s="385">
        <v>44650</v>
      </c>
      <c r="O10" s="386">
        <f t="shared" si="0"/>
        <v>31.571428571428573</v>
      </c>
      <c r="P10" s="547">
        <v>45254</v>
      </c>
      <c r="Q10" s="410">
        <v>44816</v>
      </c>
      <c r="R10" s="389">
        <f t="shared" ref="R10" si="7">(Q10-M10)/7-O10</f>
        <v>23.714285714285712</v>
      </c>
      <c r="S10" s="390" t="str">
        <f t="shared" ca="1" si="2"/>
        <v>Alerta</v>
      </c>
      <c r="T10" s="391">
        <v>0.7</v>
      </c>
      <c r="U10" s="190">
        <f t="shared" si="3"/>
        <v>0.7</v>
      </c>
      <c r="V10" s="392">
        <f t="shared" si="4"/>
        <v>0.2488687782805431</v>
      </c>
      <c r="W10" s="393" t="str">
        <f t="shared" si="5"/>
        <v>Incumple</v>
      </c>
      <c r="X10" s="626" t="s">
        <v>1068</v>
      </c>
      <c r="Y10" s="628" t="s">
        <v>1082</v>
      </c>
      <c r="Z10" s="392">
        <f t="shared" si="6"/>
        <v>0.47443438914027153</v>
      </c>
      <c r="AA10" s="396"/>
      <c r="AB10" s="396"/>
      <c r="AC10" s="411"/>
      <c r="AD10" s="398" t="s">
        <v>1083</v>
      </c>
    </row>
    <row r="11" spans="1:30" ht="187.5">
      <c r="A11" s="292" t="s">
        <v>52</v>
      </c>
      <c r="B11" s="292" t="s">
        <v>583</v>
      </c>
      <c r="C11" s="230" t="s">
        <v>1084</v>
      </c>
      <c r="D11" s="413" t="s">
        <v>1085</v>
      </c>
      <c r="E11" s="220" t="s">
        <v>1086</v>
      </c>
      <c r="F11" s="395" t="s">
        <v>1087</v>
      </c>
      <c r="G11" s="220" t="s">
        <v>1088</v>
      </c>
      <c r="H11" s="220">
        <v>1</v>
      </c>
      <c r="I11" s="384" t="s">
        <v>1075</v>
      </c>
      <c r="J11" s="384" t="s">
        <v>600</v>
      </c>
      <c r="K11" s="384" t="s">
        <v>778</v>
      </c>
      <c r="L11" s="384" t="s">
        <v>1088</v>
      </c>
      <c r="M11" s="385">
        <v>44429</v>
      </c>
      <c r="N11" s="385">
        <v>44560</v>
      </c>
      <c r="O11" s="386">
        <f t="shared" si="0"/>
        <v>18.714285714285715</v>
      </c>
      <c r="P11" s="385">
        <v>44742</v>
      </c>
      <c r="Q11" s="385">
        <v>44742</v>
      </c>
      <c r="R11" s="389">
        <f>(Q11-M11)/7-O11</f>
        <v>26</v>
      </c>
      <c r="S11" s="390" t="str">
        <f t="shared" ca="1" si="2"/>
        <v>Alerta</v>
      </c>
      <c r="T11" s="391">
        <v>1</v>
      </c>
      <c r="U11" s="190">
        <f>IF(T11/H11=1,1,+T11/H11)</f>
        <v>1</v>
      </c>
      <c r="V11" s="392">
        <f t="shared" si="4"/>
        <v>0</v>
      </c>
      <c r="W11" s="393" t="str">
        <f t="shared" si="5"/>
        <v>Incumple</v>
      </c>
      <c r="X11" s="627" t="s">
        <v>1089</v>
      </c>
      <c r="Y11" s="628" t="s">
        <v>1090</v>
      </c>
      <c r="Z11" s="392">
        <f t="shared" si="6"/>
        <v>0.5</v>
      </c>
      <c r="AA11" s="396">
        <v>0.7</v>
      </c>
      <c r="AB11" s="396">
        <v>0.5</v>
      </c>
      <c r="AC11" s="397">
        <f t="shared" ref="AC11:AC12" si="8">AVERAGE(Z11:AB11)</f>
        <v>0.56666666666666665</v>
      </c>
      <c r="AD11" s="398" t="s">
        <v>1091</v>
      </c>
    </row>
    <row r="12" spans="1:30" ht="115.5">
      <c r="A12" s="292" t="s">
        <v>52</v>
      </c>
      <c r="B12" s="292" t="s">
        <v>583</v>
      </c>
      <c r="C12" s="230" t="s">
        <v>1092</v>
      </c>
      <c r="D12" s="413" t="s">
        <v>1093</v>
      </c>
      <c r="E12" s="395" t="s">
        <v>1094</v>
      </c>
      <c r="F12" s="395" t="s">
        <v>1095</v>
      </c>
      <c r="G12" s="384" t="s">
        <v>1067</v>
      </c>
      <c r="H12" s="220">
        <v>1</v>
      </c>
      <c r="I12" s="384" t="s">
        <v>1075</v>
      </c>
      <c r="J12" s="384" t="s">
        <v>600</v>
      </c>
      <c r="K12" s="384" t="s">
        <v>778</v>
      </c>
      <c r="L12" s="384" t="s">
        <v>1067</v>
      </c>
      <c r="M12" s="385">
        <v>44429</v>
      </c>
      <c r="N12" s="385">
        <v>44560</v>
      </c>
      <c r="O12" s="386">
        <f t="shared" si="0"/>
        <v>18.714285714285715</v>
      </c>
      <c r="P12" s="385">
        <v>44560</v>
      </c>
      <c r="Q12" s="385">
        <v>44560</v>
      </c>
      <c r="R12" s="389">
        <f>(Q12-M12)/7-O12</f>
        <v>0</v>
      </c>
      <c r="S12" s="390" t="str">
        <f t="shared" ca="1" si="2"/>
        <v>Alerta</v>
      </c>
      <c r="T12" s="391">
        <v>1</v>
      </c>
      <c r="U12" s="190">
        <f t="shared" si="3"/>
        <v>1</v>
      </c>
      <c r="V12" s="392" t="str">
        <f>IF(R12&gt;O12,0%,IF(R12&lt;=0,"100%",1-(R12/O12)))</f>
        <v>100%</v>
      </c>
      <c r="W12" s="393" t="str">
        <f>IF(Q12&lt;=N12,"Cumple","Incumple")</f>
        <v>Cumple</v>
      </c>
      <c r="X12" s="627" t="s">
        <v>1096</v>
      </c>
      <c r="Y12" s="628" t="s">
        <v>1097</v>
      </c>
      <c r="Z12" s="392">
        <f t="shared" si="6"/>
        <v>1</v>
      </c>
      <c r="AA12" s="396">
        <v>1</v>
      </c>
      <c r="AB12" s="396">
        <v>0.7</v>
      </c>
      <c r="AC12" s="397">
        <f t="shared" si="8"/>
        <v>0.9</v>
      </c>
      <c r="AD12" s="414" t="s">
        <v>1098</v>
      </c>
    </row>
    <row r="13" spans="1:30" ht="15.75" thickBot="1">
      <c r="G13" s="379" t="s">
        <v>153</v>
      </c>
      <c r="H13" s="386">
        <f>SUM(H7:H12)</f>
        <v>6</v>
      </c>
      <c r="Q13" s="742" t="s">
        <v>154</v>
      </c>
      <c r="R13" s="742"/>
      <c r="S13" s="744"/>
      <c r="T13" s="91">
        <f>SUM(T7:T12)</f>
        <v>4.95</v>
      </c>
      <c r="U13" s="55">
        <f>AVERAGE(U7:U12)</f>
        <v>0.82500000000000007</v>
      </c>
      <c r="V13" s="80"/>
      <c r="W13" s="85">
        <f>(COUNTIF(W7:W12,"Cumple")*100%)/COUNTA(W7:W12)</f>
        <v>0.16666666666666666</v>
      </c>
      <c r="Z13" s="742" t="s">
        <v>154</v>
      </c>
      <c r="AA13" s="742"/>
      <c r="AB13" s="743"/>
      <c r="AC13" s="86">
        <f>AVERAGE(AC7:AC12)</f>
        <v>0.70827048768225243</v>
      </c>
    </row>
  </sheetData>
  <dataConsolidate/>
  <mergeCells count="29">
    <mergeCell ref="Z13:AB13"/>
    <mergeCell ref="Q13:S13"/>
    <mergeCell ref="A5:N5"/>
    <mergeCell ref="O5:Y5"/>
    <mergeCell ref="Z5:AD5"/>
    <mergeCell ref="T4:U4"/>
    <mergeCell ref="V4:Y4"/>
    <mergeCell ref="A4:B4"/>
    <mergeCell ref="C4:F4"/>
    <mergeCell ref="G4:H4"/>
    <mergeCell ref="I4:N4"/>
    <mergeCell ref="O4:P4"/>
    <mergeCell ref="Q4:S4"/>
    <mergeCell ref="O1:P2"/>
    <mergeCell ref="Q1:Y2"/>
    <mergeCell ref="Z1:AD4"/>
    <mergeCell ref="W3:X3"/>
    <mergeCell ref="A2:B2"/>
    <mergeCell ref="C2:F2"/>
    <mergeCell ref="G2:H2"/>
    <mergeCell ref="I2:N2"/>
    <mergeCell ref="Q3:V3"/>
    <mergeCell ref="A1:B1"/>
    <mergeCell ref="C1:N1"/>
    <mergeCell ref="A3:B3"/>
    <mergeCell ref="C3:F3"/>
    <mergeCell ref="G3:H3"/>
    <mergeCell ref="I3:N3"/>
    <mergeCell ref="O3:P3"/>
  </mergeCells>
  <conditionalFormatting sqref="R7:R12">
    <cfRule type="cellIs" dxfId="274" priority="20" operator="greaterThan">
      <formula>0</formula>
    </cfRule>
    <cfRule type="cellIs" dxfId="273" priority="21" operator="lessThan">
      <formula>0</formula>
    </cfRule>
  </conditionalFormatting>
  <conditionalFormatting sqref="S7:S12">
    <cfRule type="containsText" dxfId="272" priority="18" operator="containsText" text="Alerta">
      <formula>NOT(ISERROR(SEARCH("Alerta",S7)))</formula>
    </cfRule>
    <cfRule type="containsText" dxfId="271" priority="19" operator="containsText" text="En tiempo">
      <formula>NOT(ISERROR(SEARCH("En tiempo",S7)))</formula>
    </cfRule>
  </conditionalFormatting>
  <conditionalFormatting sqref="U7:U13">
    <cfRule type="cellIs" dxfId="270" priority="1" stopIfTrue="1" operator="between">
      <formula>0.8</formula>
      <formula>1</formula>
    </cfRule>
    <cfRule type="cellIs" dxfId="269" priority="2" stopIfTrue="1" operator="between">
      <formula>0.5</formula>
      <formula>0.79</formula>
    </cfRule>
    <cfRule type="cellIs" dxfId="268" priority="3" stopIfTrue="1" operator="between">
      <formula>0.3</formula>
      <formula>0.49</formula>
    </cfRule>
    <cfRule type="cellIs" dxfId="267" priority="4" stopIfTrue="1" operator="between">
      <formula>0</formula>
      <formula>0.29</formula>
    </cfRule>
  </conditionalFormatting>
  <conditionalFormatting sqref="V7:V12">
    <cfRule type="cellIs" dxfId="266" priority="12" operator="between">
      <formula>0.19</formula>
      <formula>0</formula>
    </cfRule>
    <cfRule type="cellIs" dxfId="265" priority="13" operator="between">
      <formula>0.49</formula>
      <formula>0.2</formula>
    </cfRule>
    <cfRule type="cellIs" dxfId="264" priority="14" operator="between">
      <formula>0.89</formula>
      <formula>0.5</formula>
    </cfRule>
    <cfRule type="cellIs" dxfId="263" priority="15" operator="between">
      <formula>1</formula>
      <formula>0.9</formula>
    </cfRule>
  </conditionalFormatting>
  <conditionalFormatting sqref="W7:W12">
    <cfRule type="containsText" dxfId="262" priority="16" operator="containsText" text="Incumple">
      <formula>NOT(ISERROR(SEARCH("Incumple",W7)))</formula>
    </cfRule>
    <cfRule type="containsText" dxfId="261" priority="17" operator="containsText" text="Cumple">
      <formula>NOT(ISERROR(SEARCH("Cumple",W7)))</formula>
    </cfRule>
  </conditionalFormatting>
  <conditionalFormatting sqref="W13">
    <cfRule type="cellIs" dxfId="260" priority="32" operator="between">
      <formula>0.19</formula>
      <formula>0</formula>
    </cfRule>
    <cfRule type="cellIs" dxfId="259" priority="33" operator="between">
      <formula>0.49</formula>
      <formula>0.2</formula>
    </cfRule>
    <cfRule type="cellIs" dxfId="258" priority="34" operator="between">
      <formula>0.89</formula>
      <formula>0.5</formula>
    </cfRule>
    <cfRule type="cellIs" dxfId="257" priority="35" operator="between">
      <formula>1</formula>
      <formula>0.9</formula>
    </cfRule>
  </conditionalFormatting>
  <conditionalFormatting sqref="Z7:Z12">
    <cfRule type="cellIs" dxfId="256" priority="8" operator="between">
      <formula>0.19</formula>
      <formula>0</formula>
    </cfRule>
    <cfRule type="cellIs" dxfId="255" priority="9" operator="between">
      <formula>0.49</formula>
      <formula>0.2</formula>
    </cfRule>
    <cfRule type="cellIs" dxfId="254" priority="10" operator="between">
      <formula>0.89</formula>
      <formula>0.5</formula>
    </cfRule>
    <cfRule type="cellIs" dxfId="253" priority="11" operator="between">
      <formula>1</formula>
      <formula>0.9</formula>
    </cfRule>
  </conditionalFormatting>
  <conditionalFormatting sqref="AC7:AC13">
    <cfRule type="cellIs" dxfId="252" priority="5" operator="between">
      <formula>0.3</formula>
      <formula>0</formula>
    </cfRule>
    <cfRule type="cellIs" dxfId="251" priority="6" operator="between">
      <formula>0.6999</formula>
      <formula>0.3111</formula>
    </cfRule>
    <cfRule type="cellIs" dxfId="250" priority="7" operator="between">
      <formula>1</formula>
      <formula>0.7</formula>
    </cfRule>
  </conditionalFormatting>
  <dataValidations count="5">
    <dataValidation type="list" allowBlank="1" showInputMessage="1" showErrorMessage="1" sqref="K7:K12" xr:uid="{00000000-0002-0000-1500-000000000000}">
      <formula1>$AS$4:$AS$10</formula1>
    </dataValidation>
    <dataValidation type="list" allowBlank="1" showInputMessage="1" showErrorMessage="1" sqref="J7:J12" xr:uid="{00000000-0002-0000-1500-000001000000}">
      <formula1>$AR$4:$AR$10</formula1>
    </dataValidation>
    <dataValidation type="list" allowBlank="1" showInputMessage="1" showErrorMessage="1" sqref="A7:A12" xr:uid="{00000000-0002-0000-1500-000002000000}">
      <formula1>$AP$4:$AP$10</formula1>
    </dataValidation>
    <dataValidation type="list" allowBlank="1" showInputMessage="1" showErrorMessage="1" sqref="B7:B12" xr:uid="{00000000-0002-0000-1500-000003000000}">
      <formula1>$AV$5:$AV$8</formula1>
    </dataValidation>
    <dataValidation type="list" allowBlank="1" showInputMessage="1" showErrorMessage="1" errorTitle="Estado" error="No es un estado de los Planes de Mejoramiento" sqref="Q4:S4" xr:uid="{00000000-0002-0000-1500-000005000000}">
      <formula1>$AW$4:$AW$7</formula1>
    </dataValidation>
  </dataValidations>
  <pageMargins left="1.4960629921259843" right="0.70866141732283472" top="0.74803149606299213" bottom="0.74803149606299213" header="0.31496062992125984" footer="0.31496062992125984"/>
  <pageSetup scale="34" fitToWidth="0" orientation="landscape" r:id="rId1"/>
  <colBreaks count="2" manualBreakCount="2">
    <brk id="14" max="1048575" man="1"/>
    <brk id="25" max="1048575" man="1"/>
  </col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0F7AD-5EA4-4CC1-A127-8512A1FA8B7F}">
  <sheetPr>
    <tabColor theme="0"/>
  </sheetPr>
  <dimension ref="A1:AW32"/>
  <sheetViews>
    <sheetView zoomScale="25" zoomScaleNormal="25" workbookViewId="0">
      <selection activeCell="X29" sqref="X29"/>
    </sheetView>
  </sheetViews>
  <sheetFormatPr defaultColWidth="17.5703125" defaultRowHeight="12.75"/>
  <cols>
    <col min="1" max="1" width="15.28515625" customWidth="1"/>
    <col min="2" max="2" width="15.5703125" customWidth="1"/>
    <col min="3" max="3" width="38.140625" customWidth="1"/>
    <col min="4" max="4" width="33.28515625" customWidth="1"/>
    <col min="5" max="5" width="36.7109375" customWidth="1"/>
    <col min="6" max="6" width="32.140625" customWidth="1"/>
    <col min="7" max="7" width="32.85546875" customWidth="1"/>
    <col min="8" max="8" width="16.42578125" customWidth="1"/>
    <col min="9" max="9" width="26.5703125" customWidth="1"/>
    <col min="10" max="10" width="16.140625" customWidth="1"/>
    <col min="11" max="11" width="21.42578125" customWidth="1"/>
    <col min="12" max="12" width="25.7109375" customWidth="1"/>
    <col min="13" max="13" width="28.7109375" customWidth="1"/>
    <col min="14" max="14" width="31.140625" customWidth="1"/>
    <col min="15" max="15" width="12" customWidth="1"/>
    <col min="16" max="16" width="15.5703125" customWidth="1"/>
    <col min="17" max="17" width="16.85546875" customWidth="1"/>
    <col min="18" max="18" width="11.5703125" customWidth="1"/>
    <col min="19" max="19" width="11.140625" customWidth="1"/>
    <col min="20" max="20" width="15" customWidth="1"/>
    <col min="21" max="21" width="16.5703125" customWidth="1"/>
    <col min="22" max="22" width="18.42578125" customWidth="1"/>
    <col min="23" max="23" width="16.7109375" customWidth="1"/>
    <col min="24" max="24" width="95.85546875" customWidth="1"/>
    <col min="25" max="25" width="63.5703125" customWidth="1"/>
    <col min="26" max="26" width="12.28515625" customWidth="1"/>
    <col min="27" max="27" width="13.42578125" customWidth="1"/>
    <col min="28" max="28" width="14.140625" customWidth="1"/>
    <col min="29" max="29" width="12.5703125" customWidth="1"/>
    <col min="30" max="30" width="77.85546875" customWidth="1"/>
    <col min="31" max="41" width="9.140625"/>
    <col min="42" max="42" width="28.5703125" hidden="1" customWidth="1"/>
    <col min="43" max="43" width="42" hidden="1" customWidth="1"/>
    <col min="44" max="44" width="17.5703125" hidden="1" customWidth="1"/>
    <col min="45" max="45" width="51.42578125" hidden="1" customWidth="1"/>
    <col min="46" max="46" width="8.5703125" hidden="1" customWidth="1"/>
    <col min="47" max="47" width="7.140625" hidden="1" customWidth="1"/>
    <col min="48" max="48" width="20.85546875" hidden="1" customWidth="1"/>
    <col min="49" max="49" width="17.5703125" hidden="1" customWidth="1"/>
    <col min="50" max="50" width="22.42578125" customWidth="1"/>
  </cols>
  <sheetData>
    <row r="1" spans="1:30" ht="100.5" customHeight="1" thickBot="1">
      <c r="A1" s="745" t="s">
        <v>0</v>
      </c>
      <c r="B1" s="745"/>
      <c r="C1" s="745" t="s">
        <v>155</v>
      </c>
      <c r="D1" s="745"/>
      <c r="E1" s="745"/>
      <c r="F1" s="745"/>
      <c r="G1" s="745"/>
      <c r="H1" s="745"/>
      <c r="I1" s="745"/>
      <c r="J1" s="745"/>
      <c r="K1" s="745"/>
      <c r="L1" s="745"/>
      <c r="M1" s="745"/>
      <c r="N1" s="745"/>
      <c r="O1" s="745"/>
      <c r="P1" s="745"/>
      <c r="Q1" s="745" t="s">
        <v>1</v>
      </c>
      <c r="R1" s="745"/>
      <c r="S1" s="745"/>
      <c r="T1" s="745"/>
      <c r="U1" s="745"/>
      <c r="V1" s="745"/>
      <c r="W1" s="745"/>
      <c r="X1" s="745"/>
      <c r="Y1" s="745"/>
      <c r="Z1" s="745" t="s">
        <v>1</v>
      </c>
      <c r="AA1" s="745"/>
      <c r="AB1" s="745"/>
      <c r="AC1" s="745"/>
      <c r="AD1" s="745"/>
    </row>
    <row r="2" spans="1:30" ht="15.75" thickBot="1">
      <c r="A2" s="745" t="s">
        <v>2</v>
      </c>
      <c r="B2" s="745"/>
      <c r="C2" s="745" t="s">
        <v>3</v>
      </c>
      <c r="D2" s="750"/>
      <c r="E2" s="750"/>
      <c r="F2" s="750"/>
      <c r="G2" s="745" t="s">
        <v>4</v>
      </c>
      <c r="H2" s="745"/>
      <c r="I2" s="745" t="s">
        <v>5</v>
      </c>
      <c r="J2" s="745"/>
      <c r="K2" s="745"/>
      <c r="L2" s="745"/>
      <c r="M2" s="745"/>
      <c r="N2" s="745"/>
      <c r="O2" s="745"/>
      <c r="P2" s="745"/>
      <c r="Q2" s="745"/>
      <c r="R2" s="745"/>
      <c r="S2" s="745"/>
      <c r="T2" s="745"/>
      <c r="U2" s="745"/>
      <c r="V2" s="745"/>
      <c r="W2" s="745"/>
      <c r="X2" s="745"/>
      <c r="Y2" s="745"/>
      <c r="Z2" s="751"/>
      <c r="AA2" s="751"/>
      <c r="AB2" s="751"/>
      <c r="AC2" s="751"/>
      <c r="AD2" s="751"/>
    </row>
    <row r="3" spans="1:30" ht="15.75" thickBot="1">
      <c r="A3" s="749" t="s">
        <v>6</v>
      </c>
      <c r="B3" s="749"/>
      <c r="C3" s="745" t="s">
        <v>1099</v>
      </c>
      <c r="D3" s="745"/>
      <c r="E3" s="745"/>
      <c r="F3" s="745"/>
      <c r="G3" s="749" t="s">
        <v>8</v>
      </c>
      <c r="H3" s="749"/>
      <c r="I3" s="752">
        <v>43313</v>
      </c>
      <c r="J3" s="745"/>
      <c r="K3" s="745"/>
      <c r="L3" s="745"/>
      <c r="M3" s="745"/>
      <c r="N3" s="745"/>
      <c r="O3" s="749" t="s">
        <v>9</v>
      </c>
      <c r="P3" s="749"/>
      <c r="Q3" s="752">
        <v>44742</v>
      </c>
      <c r="R3" s="752"/>
      <c r="S3" s="752"/>
      <c r="T3" s="752"/>
      <c r="U3" s="752"/>
      <c r="V3" s="752"/>
      <c r="W3" s="749" t="s">
        <v>10</v>
      </c>
      <c r="X3" s="749"/>
      <c r="Y3" s="326"/>
      <c r="Z3" s="751"/>
      <c r="AA3" s="751"/>
      <c r="AB3" s="751"/>
      <c r="AC3" s="751"/>
      <c r="AD3" s="751"/>
    </row>
    <row r="4" spans="1:30" ht="15.75" thickBot="1">
      <c r="A4" s="749" t="s">
        <v>12</v>
      </c>
      <c r="B4" s="749"/>
      <c r="C4" s="745" t="s">
        <v>1100</v>
      </c>
      <c r="D4" s="745"/>
      <c r="E4" s="745"/>
      <c r="F4" s="745"/>
      <c r="G4" s="749" t="s">
        <v>14</v>
      </c>
      <c r="H4" s="749"/>
      <c r="I4" s="752">
        <v>43739</v>
      </c>
      <c r="J4" s="752"/>
      <c r="K4" s="752"/>
      <c r="L4" s="752"/>
      <c r="M4" s="752"/>
      <c r="N4" s="752"/>
      <c r="O4" s="749" t="s">
        <v>15</v>
      </c>
      <c r="P4" s="749"/>
      <c r="Q4" s="745" t="s">
        <v>16</v>
      </c>
      <c r="R4" s="745"/>
      <c r="S4" s="745"/>
      <c r="T4" s="749" t="s">
        <v>17</v>
      </c>
      <c r="U4" s="749"/>
      <c r="V4" s="745" t="s">
        <v>1101</v>
      </c>
      <c r="W4" s="745"/>
      <c r="X4" s="745"/>
      <c r="Y4" s="745"/>
      <c r="Z4" s="751"/>
      <c r="AA4" s="751"/>
      <c r="AB4" s="751"/>
      <c r="AC4" s="751"/>
      <c r="AD4" s="751"/>
    </row>
    <row r="5" spans="1:30" ht="40.5" customHeight="1" thickBot="1">
      <c r="A5" s="746" t="s">
        <v>18</v>
      </c>
      <c r="B5" s="746"/>
      <c r="C5" s="746"/>
      <c r="D5" s="746"/>
      <c r="E5" s="746"/>
      <c r="F5" s="746"/>
      <c r="G5" s="746"/>
      <c r="H5" s="746"/>
      <c r="I5" s="746"/>
      <c r="J5" s="746"/>
      <c r="K5" s="746"/>
      <c r="L5" s="746"/>
      <c r="M5" s="746"/>
      <c r="N5" s="746"/>
      <c r="O5" s="747" t="s">
        <v>19</v>
      </c>
      <c r="P5" s="747"/>
      <c r="Q5" s="747"/>
      <c r="R5" s="747"/>
      <c r="S5" s="747"/>
      <c r="T5" s="747"/>
      <c r="U5" s="747"/>
      <c r="V5" s="747"/>
      <c r="W5" s="747"/>
      <c r="X5" s="747"/>
      <c r="Y5" s="747"/>
      <c r="Z5" s="748" t="s">
        <v>20</v>
      </c>
      <c r="AA5" s="748"/>
      <c r="AB5" s="748"/>
      <c r="AC5" s="748"/>
      <c r="AD5" s="748"/>
    </row>
    <row r="6" spans="1:30" ht="75.75" thickBot="1">
      <c r="A6" s="327" t="s">
        <v>21</v>
      </c>
      <c r="B6" s="327" t="s">
        <v>22</v>
      </c>
      <c r="C6" s="327" t="s">
        <v>770</v>
      </c>
      <c r="D6" s="327" t="s">
        <v>24</v>
      </c>
      <c r="E6" s="327" t="s">
        <v>25</v>
      </c>
      <c r="F6" s="327" t="s">
        <v>26</v>
      </c>
      <c r="G6" s="327" t="s">
        <v>27</v>
      </c>
      <c r="H6" s="327" t="s">
        <v>28</v>
      </c>
      <c r="I6" s="327" t="s">
        <v>29</v>
      </c>
      <c r="J6" s="327" t="s">
        <v>30</v>
      </c>
      <c r="K6" s="327" t="s">
        <v>31</v>
      </c>
      <c r="L6" s="327" t="s">
        <v>32</v>
      </c>
      <c r="M6" s="327" t="s">
        <v>33</v>
      </c>
      <c r="N6" s="327" t="s">
        <v>34</v>
      </c>
      <c r="O6" s="328" t="s">
        <v>35</v>
      </c>
      <c r="P6" s="328" t="s">
        <v>36</v>
      </c>
      <c r="Q6" s="328" t="s">
        <v>37</v>
      </c>
      <c r="R6" s="328" t="s">
        <v>38</v>
      </c>
      <c r="S6" s="328" t="s">
        <v>39</v>
      </c>
      <c r="T6" s="328" t="s">
        <v>40</v>
      </c>
      <c r="U6" s="328" t="s">
        <v>41</v>
      </c>
      <c r="V6" s="328" t="s">
        <v>42</v>
      </c>
      <c r="W6" s="328" t="s">
        <v>43</v>
      </c>
      <c r="X6" s="328" t="s">
        <v>44</v>
      </c>
      <c r="Y6" s="328" t="s">
        <v>45</v>
      </c>
      <c r="Z6" s="329" t="s">
        <v>46</v>
      </c>
      <c r="AA6" s="329" t="s">
        <v>771</v>
      </c>
      <c r="AB6" s="329" t="s">
        <v>48</v>
      </c>
      <c r="AC6" s="329" t="s">
        <v>49</v>
      </c>
      <c r="AD6" s="329" t="s">
        <v>50</v>
      </c>
    </row>
    <row r="7" spans="1:30" ht="150" customHeight="1" thickBot="1">
      <c r="A7" s="292" t="s">
        <v>341</v>
      </c>
      <c r="B7" s="292" t="s">
        <v>583</v>
      </c>
      <c r="C7" s="330" t="s">
        <v>1102</v>
      </c>
      <c r="D7" s="330" t="s">
        <v>1103</v>
      </c>
      <c r="E7" s="330" t="s">
        <v>1104</v>
      </c>
      <c r="F7" s="330" t="s">
        <v>1105</v>
      </c>
      <c r="G7" s="370" t="s">
        <v>1106</v>
      </c>
      <c r="H7" s="370">
        <v>3</v>
      </c>
      <c r="I7" s="371" t="s">
        <v>1099</v>
      </c>
      <c r="J7" s="334"/>
      <c r="K7" s="334"/>
      <c r="L7" s="370" t="s">
        <v>1107</v>
      </c>
      <c r="M7" s="372">
        <v>43313</v>
      </c>
      <c r="N7" s="372">
        <v>43439</v>
      </c>
      <c r="O7" s="336">
        <f>(N7-M7)/7</f>
        <v>18</v>
      </c>
      <c r="P7" s="159">
        <v>43633</v>
      </c>
      <c r="Q7" s="159">
        <v>43987</v>
      </c>
      <c r="R7" s="338">
        <f t="shared" ref="R7:R15" si="0">(Q7-M7)/7-O7</f>
        <v>78.285714285714292</v>
      </c>
      <c r="S7" s="339" t="str">
        <f ca="1">IF((N7-TODAY())/7&gt;=0,"En tiempo","Alerta")</f>
        <v>Alerta</v>
      </c>
      <c r="T7" s="234">
        <v>3</v>
      </c>
      <c r="U7" s="190">
        <f>IF(T7/H7=1,1,+T7/H7)</f>
        <v>1</v>
      </c>
      <c r="V7" s="341">
        <f>IF(R7&gt;O7,0%,IF(R7&lt;=0,"100%",1-(R7/O7)))</f>
        <v>0</v>
      </c>
      <c r="W7" s="342" t="str">
        <f>IF(Q7&lt;=N7,"Cumple","Incumple")</f>
        <v>Incumple</v>
      </c>
      <c r="X7" s="343" t="s">
        <v>1108</v>
      </c>
      <c r="Y7" s="293" t="s">
        <v>1109</v>
      </c>
      <c r="Z7" s="341">
        <f>(U7+V7)/2</f>
        <v>0.5</v>
      </c>
      <c r="AA7" s="345">
        <v>0.5</v>
      </c>
      <c r="AB7" s="345">
        <v>1</v>
      </c>
      <c r="AC7" s="346">
        <f t="shared" ref="AC7:AC29" si="1">AVERAGE(Z7:AB7)</f>
        <v>0.66666666666666663</v>
      </c>
      <c r="AD7" s="370" t="s">
        <v>1110</v>
      </c>
    </row>
    <row r="8" spans="1:30" ht="192.75" customHeight="1">
      <c r="A8" s="292" t="s">
        <v>341</v>
      </c>
      <c r="B8" s="292" t="s">
        <v>583</v>
      </c>
      <c r="C8" s="330" t="s">
        <v>1102</v>
      </c>
      <c r="D8" s="330" t="s">
        <v>1103</v>
      </c>
      <c r="E8" s="330" t="s">
        <v>1104</v>
      </c>
      <c r="F8" s="330" t="s">
        <v>1111</v>
      </c>
      <c r="G8" s="370" t="s">
        <v>1112</v>
      </c>
      <c r="H8" s="370">
        <v>1</v>
      </c>
      <c r="I8" s="371" t="s">
        <v>1099</v>
      </c>
      <c r="J8" s="334"/>
      <c r="K8" s="334"/>
      <c r="L8" s="370" t="s">
        <v>1113</v>
      </c>
      <c r="M8" s="372">
        <v>43313</v>
      </c>
      <c r="N8" s="372">
        <v>45107</v>
      </c>
      <c r="O8" s="336">
        <f t="shared" ref="O8:O31" si="2">(N8-M8)/7</f>
        <v>256.28571428571428</v>
      </c>
      <c r="P8" s="159">
        <v>45271</v>
      </c>
      <c r="Q8" s="552">
        <f>P8</f>
        <v>45271</v>
      </c>
      <c r="R8" s="338">
        <f t="shared" si="0"/>
        <v>23.428571428571445</v>
      </c>
      <c r="S8" s="339" t="str">
        <f t="shared" ref="S8:S14" ca="1" si="3">IF((N8-TODAY())/7&gt;=0,"En tiempo","Alerta")</f>
        <v>Alerta</v>
      </c>
      <c r="T8" s="234">
        <v>0.4</v>
      </c>
      <c r="U8" s="190">
        <f t="shared" ref="U8:U31" si="4">IF(T8/H8=1,1,+T8/H8)</f>
        <v>0.4</v>
      </c>
      <c r="V8" s="341">
        <f t="shared" ref="V8:V31" si="5">IF(R8&gt;O8,0%,IF(R8&lt;=0,"100%",1-(R8/O8)))</f>
        <v>0.90858416945373466</v>
      </c>
      <c r="W8" s="342" t="str">
        <f t="shared" ref="W8:W31" si="6">IF(Q8&lt;=N8,"Cumple","Incumple")</f>
        <v>Incumple</v>
      </c>
      <c r="X8" s="570" t="s">
        <v>1114</v>
      </c>
      <c r="Y8" s="573" t="s">
        <v>1115</v>
      </c>
      <c r="Z8" s="341">
        <f t="shared" ref="Z8:Z31" si="7">(U8+V8)/2</f>
        <v>0.6542920847268674</v>
      </c>
      <c r="AA8" s="345"/>
      <c r="AB8" s="345"/>
      <c r="AC8" s="373"/>
      <c r="AD8" s="370"/>
    </row>
    <row r="9" spans="1:30" ht="150" customHeight="1">
      <c r="A9" s="292" t="s">
        <v>341</v>
      </c>
      <c r="B9" s="292" t="s">
        <v>583</v>
      </c>
      <c r="C9" s="330" t="s">
        <v>1102</v>
      </c>
      <c r="D9" s="330" t="s">
        <v>1103</v>
      </c>
      <c r="E9" s="330" t="s">
        <v>1104</v>
      </c>
      <c r="F9" s="330" t="s">
        <v>1116</v>
      </c>
      <c r="G9" s="370" t="s">
        <v>1117</v>
      </c>
      <c r="H9" s="370">
        <v>1</v>
      </c>
      <c r="I9" s="371" t="s">
        <v>1099</v>
      </c>
      <c r="J9" s="334"/>
      <c r="K9" s="334"/>
      <c r="L9" s="370" t="s">
        <v>57</v>
      </c>
      <c r="M9" s="372">
        <v>43313</v>
      </c>
      <c r="N9" s="372">
        <v>45107</v>
      </c>
      <c r="O9" s="336">
        <f t="shared" si="2"/>
        <v>256.28571428571428</v>
      </c>
      <c r="P9" s="159">
        <v>45271</v>
      </c>
      <c r="Q9" s="552">
        <f t="shared" ref="Q9:Q31" si="8">P9</f>
        <v>45271</v>
      </c>
      <c r="R9" s="338">
        <f t="shared" si="0"/>
        <v>23.428571428571445</v>
      </c>
      <c r="S9" s="339" t="str">
        <f t="shared" ca="1" si="3"/>
        <v>Alerta</v>
      </c>
      <c r="T9" s="234">
        <v>0</v>
      </c>
      <c r="U9" s="190">
        <f t="shared" si="4"/>
        <v>0</v>
      </c>
      <c r="V9" s="341">
        <f t="shared" si="5"/>
        <v>0.90858416945373466</v>
      </c>
      <c r="W9" s="342" t="str">
        <f t="shared" si="6"/>
        <v>Incumple</v>
      </c>
      <c r="X9" s="570" t="s">
        <v>1118</v>
      </c>
      <c r="Y9" s="573" t="s">
        <v>1119</v>
      </c>
      <c r="Z9" s="341">
        <f t="shared" si="7"/>
        <v>0.45429208472686733</v>
      </c>
      <c r="AA9" s="345"/>
      <c r="AB9" s="345"/>
      <c r="AC9" s="373"/>
      <c r="AD9" s="370"/>
    </row>
    <row r="10" spans="1:30" ht="165.75" customHeight="1" thickBot="1">
      <c r="A10" s="292" t="s">
        <v>341</v>
      </c>
      <c r="B10" s="292" t="s">
        <v>583</v>
      </c>
      <c r="C10" s="370" t="s">
        <v>1120</v>
      </c>
      <c r="D10" s="370" t="s">
        <v>1121</v>
      </c>
      <c r="E10" s="330" t="s">
        <v>1122</v>
      </c>
      <c r="F10" s="330" t="s">
        <v>1123</v>
      </c>
      <c r="G10" s="370" t="s">
        <v>1124</v>
      </c>
      <c r="H10" s="370">
        <v>3</v>
      </c>
      <c r="I10" s="371" t="s">
        <v>1125</v>
      </c>
      <c r="J10" s="334"/>
      <c r="K10" s="334"/>
      <c r="L10" s="370" t="s">
        <v>1126</v>
      </c>
      <c r="M10" s="372">
        <v>43313</v>
      </c>
      <c r="N10" s="372">
        <v>43449</v>
      </c>
      <c r="O10" s="336">
        <f t="shared" si="2"/>
        <v>19.428571428571427</v>
      </c>
      <c r="P10" s="159">
        <v>44742</v>
      </c>
      <c r="Q10" s="159">
        <f t="shared" si="8"/>
        <v>44742</v>
      </c>
      <c r="R10" s="338">
        <f t="shared" si="0"/>
        <v>184.71428571428572</v>
      </c>
      <c r="S10" s="339" t="str">
        <f t="shared" ca="1" si="3"/>
        <v>Alerta</v>
      </c>
      <c r="T10" s="234">
        <v>3</v>
      </c>
      <c r="U10" s="190">
        <f t="shared" si="4"/>
        <v>1</v>
      </c>
      <c r="V10" s="341">
        <f t="shared" si="5"/>
        <v>0</v>
      </c>
      <c r="W10" s="342" t="str">
        <f t="shared" si="6"/>
        <v>Incumple</v>
      </c>
      <c r="X10" s="343" t="s">
        <v>1127</v>
      </c>
      <c r="Y10" s="293" t="s">
        <v>1128</v>
      </c>
      <c r="Z10" s="341">
        <f t="shared" si="7"/>
        <v>0.5</v>
      </c>
      <c r="AA10" s="345">
        <v>0.5</v>
      </c>
      <c r="AB10" s="345">
        <v>0.5</v>
      </c>
      <c r="AC10" s="346">
        <f t="shared" si="1"/>
        <v>0.5</v>
      </c>
      <c r="AD10" s="370" t="s">
        <v>1129</v>
      </c>
    </row>
    <row r="11" spans="1:30" ht="279.75" customHeight="1">
      <c r="A11" s="292" t="s">
        <v>341</v>
      </c>
      <c r="B11" s="292" t="s">
        <v>583</v>
      </c>
      <c r="C11" s="370" t="s">
        <v>1120</v>
      </c>
      <c r="D11" s="370" t="s">
        <v>1121</v>
      </c>
      <c r="E11" s="330" t="s">
        <v>1122</v>
      </c>
      <c r="F11" s="330" t="s">
        <v>1130</v>
      </c>
      <c r="G11" s="370" t="s">
        <v>1131</v>
      </c>
      <c r="H11" s="370">
        <v>1</v>
      </c>
      <c r="I11" s="371" t="s">
        <v>1132</v>
      </c>
      <c r="J11" s="334"/>
      <c r="K11" s="334"/>
      <c r="L11" s="370" t="s">
        <v>1133</v>
      </c>
      <c r="M11" s="372">
        <v>43318</v>
      </c>
      <c r="N11" s="372">
        <v>45107</v>
      </c>
      <c r="O11" s="336">
        <f t="shared" si="2"/>
        <v>255.57142857142858</v>
      </c>
      <c r="P11" s="159">
        <v>45271</v>
      </c>
      <c r="Q11" s="552">
        <f>P11</f>
        <v>45271</v>
      </c>
      <c r="R11" s="338">
        <f>(Q11-M11)/7-O11</f>
        <v>23.428571428571416</v>
      </c>
      <c r="S11" s="339" t="str">
        <f t="shared" ca="1" si="3"/>
        <v>Alerta</v>
      </c>
      <c r="T11" s="234">
        <v>0.5</v>
      </c>
      <c r="U11" s="190">
        <f t="shared" si="4"/>
        <v>0.5</v>
      </c>
      <c r="V11" s="341">
        <f t="shared" si="5"/>
        <v>0.90832867523756289</v>
      </c>
      <c r="W11" s="342" t="str">
        <f t="shared" si="6"/>
        <v>Incumple</v>
      </c>
      <c r="X11" s="570" t="s">
        <v>1134</v>
      </c>
      <c r="Y11" s="573" t="s">
        <v>1135</v>
      </c>
      <c r="Z11" s="341">
        <f t="shared" si="7"/>
        <v>0.70416433761878139</v>
      </c>
      <c r="AA11" s="345"/>
      <c r="AB11" s="345"/>
      <c r="AC11" s="373"/>
      <c r="AD11" s="370"/>
    </row>
    <row r="12" spans="1:30" ht="243" customHeight="1" thickBot="1">
      <c r="A12" s="292" t="s">
        <v>341</v>
      </c>
      <c r="B12" s="292" t="s">
        <v>583</v>
      </c>
      <c r="C12" s="370" t="s">
        <v>1120</v>
      </c>
      <c r="D12" s="370" t="s">
        <v>1121</v>
      </c>
      <c r="E12" s="330" t="s">
        <v>1122</v>
      </c>
      <c r="F12" s="330" t="s">
        <v>1136</v>
      </c>
      <c r="G12" s="370" t="s">
        <v>1137</v>
      </c>
      <c r="H12" s="374">
        <v>1</v>
      </c>
      <c r="I12" s="371" t="s">
        <v>1138</v>
      </c>
      <c r="J12" s="334"/>
      <c r="K12" s="334"/>
      <c r="L12" s="370" t="s">
        <v>1139</v>
      </c>
      <c r="M12" s="372">
        <v>43374</v>
      </c>
      <c r="N12" s="372">
        <v>43449</v>
      </c>
      <c r="O12" s="336">
        <f t="shared" si="2"/>
        <v>10.714285714285714</v>
      </c>
      <c r="P12" s="159">
        <v>45107</v>
      </c>
      <c r="Q12" s="159">
        <f t="shared" si="8"/>
        <v>45107</v>
      </c>
      <c r="R12" s="338">
        <f t="shared" si="0"/>
        <v>236.85714285714286</v>
      </c>
      <c r="S12" s="339" t="str">
        <f t="shared" ca="1" si="3"/>
        <v>Alerta</v>
      </c>
      <c r="T12" s="234">
        <v>1</v>
      </c>
      <c r="U12" s="190">
        <f t="shared" si="4"/>
        <v>1</v>
      </c>
      <c r="V12" s="341">
        <f t="shared" si="5"/>
        <v>0</v>
      </c>
      <c r="W12" s="342" t="str">
        <f t="shared" si="6"/>
        <v>Incumple</v>
      </c>
      <c r="X12" s="300" t="s">
        <v>1140</v>
      </c>
      <c r="Y12" s="293" t="s">
        <v>1141</v>
      </c>
      <c r="Z12" s="341">
        <f t="shared" si="7"/>
        <v>0.5</v>
      </c>
      <c r="AA12" s="345">
        <v>1</v>
      </c>
      <c r="AB12" s="345">
        <v>1</v>
      </c>
      <c r="AC12" s="346">
        <f t="shared" si="1"/>
        <v>0.83333333333333337</v>
      </c>
      <c r="AD12" s="370" t="s">
        <v>1142</v>
      </c>
    </row>
    <row r="13" spans="1:30" ht="344.25" customHeight="1" thickBot="1">
      <c r="A13" s="292" t="s">
        <v>341</v>
      </c>
      <c r="B13" s="292" t="s">
        <v>583</v>
      </c>
      <c r="C13" s="375" t="s">
        <v>1143</v>
      </c>
      <c r="D13" s="370" t="s">
        <v>1144</v>
      </c>
      <c r="E13" s="330" t="s">
        <v>1145</v>
      </c>
      <c r="F13" s="330" t="s">
        <v>1146</v>
      </c>
      <c r="G13" s="371" t="s">
        <v>1147</v>
      </c>
      <c r="H13" s="376">
        <v>1</v>
      </c>
      <c r="I13" s="371" t="s">
        <v>1148</v>
      </c>
      <c r="J13" s="334"/>
      <c r="K13" s="334"/>
      <c r="L13" s="370" t="s">
        <v>1149</v>
      </c>
      <c r="M13" s="372">
        <v>42955</v>
      </c>
      <c r="N13" s="372">
        <v>43084</v>
      </c>
      <c r="O13" s="336">
        <f t="shared" si="2"/>
        <v>18.428571428571427</v>
      </c>
      <c r="P13" s="159">
        <v>43639</v>
      </c>
      <c r="Q13" s="159">
        <f t="shared" si="8"/>
        <v>43639</v>
      </c>
      <c r="R13" s="338">
        <f t="shared" si="0"/>
        <v>79.285714285714278</v>
      </c>
      <c r="S13" s="339" t="str">
        <f t="shared" ca="1" si="3"/>
        <v>Alerta</v>
      </c>
      <c r="T13" s="163">
        <v>1</v>
      </c>
      <c r="U13" s="190">
        <f t="shared" si="4"/>
        <v>1</v>
      </c>
      <c r="V13" s="341">
        <f t="shared" si="5"/>
        <v>0</v>
      </c>
      <c r="W13" s="342" t="str">
        <f t="shared" si="6"/>
        <v>Incumple</v>
      </c>
      <c r="X13" s="335" t="s">
        <v>1150</v>
      </c>
      <c r="Y13" s="371"/>
      <c r="Z13" s="341">
        <f t="shared" si="7"/>
        <v>0.5</v>
      </c>
      <c r="AA13" s="345">
        <v>1</v>
      </c>
      <c r="AB13" s="345">
        <v>0.5</v>
      </c>
      <c r="AC13" s="346">
        <f t="shared" si="1"/>
        <v>0.66666666666666663</v>
      </c>
      <c r="AD13" s="370" t="s">
        <v>1151</v>
      </c>
    </row>
    <row r="14" spans="1:30" ht="351.75" customHeight="1" thickBot="1">
      <c r="A14" s="292" t="s">
        <v>341</v>
      </c>
      <c r="B14" s="292" t="s">
        <v>583</v>
      </c>
      <c r="C14" s="375" t="s">
        <v>1143</v>
      </c>
      <c r="D14" s="370" t="s">
        <v>1144</v>
      </c>
      <c r="E14" s="330" t="s">
        <v>1145</v>
      </c>
      <c r="F14" s="330" t="s">
        <v>1152</v>
      </c>
      <c r="G14" s="371" t="s">
        <v>1153</v>
      </c>
      <c r="H14" s="376">
        <v>1</v>
      </c>
      <c r="I14" s="371" t="s">
        <v>1154</v>
      </c>
      <c r="J14" s="334"/>
      <c r="K14" s="334"/>
      <c r="L14" s="370" t="s">
        <v>1155</v>
      </c>
      <c r="M14" s="372">
        <v>43374</v>
      </c>
      <c r="N14" s="372">
        <v>43739</v>
      </c>
      <c r="O14" s="336">
        <f t="shared" si="2"/>
        <v>52.142857142857146</v>
      </c>
      <c r="P14" s="159">
        <v>43640</v>
      </c>
      <c r="Q14" s="159">
        <f t="shared" si="8"/>
        <v>43640</v>
      </c>
      <c r="R14" s="338">
        <f t="shared" si="0"/>
        <v>-14.142857142857146</v>
      </c>
      <c r="S14" s="339" t="str">
        <f t="shared" ca="1" si="3"/>
        <v>Alerta</v>
      </c>
      <c r="T14" s="163">
        <v>1</v>
      </c>
      <c r="U14" s="190">
        <f t="shared" si="4"/>
        <v>1</v>
      </c>
      <c r="V14" s="341" t="str">
        <f t="shared" si="5"/>
        <v>100%</v>
      </c>
      <c r="W14" s="342" t="str">
        <f t="shared" si="6"/>
        <v>Cumple</v>
      </c>
      <c r="X14" s="335" t="s">
        <v>1156</v>
      </c>
      <c r="Y14" s="371"/>
      <c r="Z14" s="341">
        <f t="shared" si="7"/>
        <v>1</v>
      </c>
      <c r="AA14" s="345">
        <v>0.5</v>
      </c>
      <c r="AB14" s="345"/>
      <c r="AC14" s="346">
        <f t="shared" si="1"/>
        <v>0.75</v>
      </c>
      <c r="AD14" s="370" t="s">
        <v>1157</v>
      </c>
    </row>
    <row r="15" spans="1:30" ht="268.5" customHeight="1" thickBot="1">
      <c r="A15" s="292" t="s">
        <v>341</v>
      </c>
      <c r="B15" s="292" t="s">
        <v>583</v>
      </c>
      <c r="C15" s="375" t="s">
        <v>1143</v>
      </c>
      <c r="D15" s="370" t="s">
        <v>1144</v>
      </c>
      <c r="E15" s="330" t="s">
        <v>1145</v>
      </c>
      <c r="F15" s="330" t="s">
        <v>1158</v>
      </c>
      <c r="G15" s="371" t="s">
        <v>1159</v>
      </c>
      <c r="H15" s="376">
        <v>3</v>
      </c>
      <c r="I15" s="371" t="s">
        <v>1154</v>
      </c>
      <c r="J15" s="334"/>
      <c r="K15" s="334"/>
      <c r="L15" s="370" t="s">
        <v>1160</v>
      </c>
      <c r="M15" s="372">
        <v>43374</v>
      </c>
      <c r="N15" s="372">
        <v>43449</v>
      </c>
      <c r="O15" s="336">
        <f t="shared" si="2"/>
        <v>10.714285714285714</v>
      </c>
      <c r="P15" s="159">
        <v>43641</v>
      </c>
      <c r="Q15" s="159">
        <f t="shared" si="8"/>
        <v>43641</v>
      </c>
      <c r="R15" s="338">
        <f t="shared" si="0"/>
        <v>27.428571428571431</v>
      </c>
      <c r="S15" s="339" t="str">
        <f ca="1">IF((N15-TODAY())/7&gt;=0,"En tiempo","Alerta")</f>
        <v>Alerta</v>
      </c>
      <c r="T15" s="234">
        <v>3</v>
      </c>
      <c r="U15" s="190">
        <f t="shared" si="4"/>
        <v>1</v>
      </c>
      <c r="V15" s="341">
        <f t="shared" si="5"/>
        <v>0</v>
      </c>
      <c r="W15" s="342" t="str">
        <f t="shared" si="6"/>
        <v>Incumple</v>
      </c>
      <c r="X15" s="293" t="s">
        <v>1161</v>
      </c>
      <c r="Y15" s="293" t="s">
        <v>1162</v>
      </c>
      <c r="Z15" s="341">
        <f t="shared" si="7"/>
        <v>0.5</v>
      </c>
      <c r="AA15" s="345">
        <v>1</v>
      </c>
      <c r="AB15" s="345"/>
      <c r="AC15" s="346">
        <f t="shared" si="1"/>
        <v>0.75</v>
      </c>
      <c r="AD15" s="370" t="s">
        <v>1163</v>
      </c>
    </row>
    <row r="16" spans="1:30" ht="260.25" customHeight="1">
      <c r="A16" s="292" t="s">
        <v>341</v>
      </c>
      <c r="B16" s="292" t="s">
        <v>583</v>
      </c>
      <c r="C16" s="375" t="s">
        <v>1164</v>
      </c>
      <c r="D16" s="370" t="s">
        <v>1144</v>
      </c>
      <c r="E16" s="330" t="s">
        <v>1165</v>
      </c>
      <c r="F16" s="330" t="s">
        <v>1166</v>
      </c>
      <c r="G16" s="371" t="s">
        <v>1167</v>
      </c>
      <c r="H16" s="376">
        <v>3</v>
      </c>
      <c r="I16" s="371" t="s">
        <v>1125</v>
      </c>
      <c r="J16" s="334"/>
      <c r="K16" s="334"/>
      <c r="L16" s="370" t="s">
        <v>1168</v>
      </c>
      <c r="M16" s="372">
        <v>43374</v>
      </c>
      <c r="N16" s="372">
        <v>45107</v>
      </c>
      <c r="O16" s="336">
        <f t="shared" si="2"/>
        <v>247.57142857142858</v>
      </c>
      <c r="P16" s="159">
        <v>45271</v>
      </c>
      <c r="Q16" s="553">
        <v>45216</v>
      </c>
      <c r="R16" s="338">
        <f>(P16-M16)/7-O16</f>
        <v>23.428571428571416</v>
      </c>
      <c r="S16" s="339" t="str">
        <f t="shared" ref="S16:S30" ca="1" si="9">IF((N16-TODAY())/7&gt;=0,"En tiempo","Alerta")</f>
        <v>Alerta</v>
      </c>
      <c r="T16" s="551">
        <v>3</v>
      </c>
      <c r="U16" s="190">
        <f t="shared" si="4"/>
        <v>1</v>
      </c>
      <c r="V16" s="341">
        <f t="shared" si="5"/>
        <v>0.90536641661858053</v>
      </c>
      <c r="W16" s="342" t="str">
        <f t="shared" si="6"/>
        <v>Incumple</v>
      </c>
      <c r="X16" s="573" t="s">
        <v>1169</v>
      </c>
      <c r="Y16" s="573" t="s">
        <v>1170</v>
      </c>
      <c r="Z16" s="341">
        <f t="shared" si="7"/>
        <v>0.95268320830929021</v>
      </c>
      <c r="AA16" s="345"/>
      <c r="AB16" s="345"/>
      <c r="AC16" s="373"/>
      <c r="AD16" s="370" t="s">
        <v>1171</v>
      </c>
    </row>
    <row r="17" spans="1:30" ht="374.25" customHeight="1">
      <c r="A17" s="292" t="s">
        <v>341</v>
      </c>
      <c r="B17" s="292" t="s">
        <v>583</v>
      </c>
      <c r="C17" s="375" t="s">
        <v>1164</v>
      </c>
      <c r="D17" s="370" t="s">
        <v>1144</v>
      </c>
      <c r="E17" s="330" t="s">
        <v>1165</v>
      </c>
      <c r="F17" s="330" t="s">
        <v>1172</v>
      </c>
      <c r="G17" s="371" t="s">
        <v>1167</v>
      </c>
      <c r="H17" s="371">
        <v>3</v>
      </c>
      <c r="I17" s="371" t="s">
        <v>1125</v>
      </c>
      <c r="J17" s="334"/>
      <c r="K17" s="334"/>
      <c r="L17" s="370" t="s">
        <v>1168</v>
      </c>
      <c r="M17" s="372">
        <v>43374</v>
      </c>
      <c r="N17" s="372">
        <v>45107</v>
      </c>
      <c r="O17" s="336">
        <f t="shared" si="2"/>
        <v>247.57142857142858</v>
      </c>
      <c r="P17" s="159">
        <v>45271</v>
      </c>
      <c r="Q17" s="553">
        <v>45216</v>
      </c>
      <c r="R17" s="338">
        <f>(Q17-M17)/7-O17</f>
        <v>15.571428571428584</v>
      </c>
      <c r="S17" s="339" t="str">
        <f t="shared" ca="1" si="9"/>
        <v>Alerta</v>
      </c>
      <c r="T17" s="551">
        <v>3</v>
      </c>
      <c r="U17" s="190">
        <f t="shared" si="4"/>
        <v>1</v>
      </c>
      <c r="V17" s="341">
        <f t="shared" si="5"/>
        <v>0.93710328909405649</v>
      </c>
      <c r="W17" s="342" t="str">
        <f t="shared" si="6"/>
        <v>Incumple</v>
      </c>
      <c r="X17" s="570" t="s">
        <v>1173</v>
      </c>
      <c r="Y17" s="573" t="s">
        <v>1174</v>
      </c>
      <c r="Z17" s="341">
        <f t="shared" si="7"/>
        <v>0.96855164454702825</v>
      </c>
      <c r="AA17" s="345"/>
      <c r="AB17" s="345"/>
      <c r="AC17" s="373"/>
      <c r="AD17" s="370" t="s">
        <v>1175</v>
      </c>
    </row>
    <row r="18" spans="1:30" ht="210" customHeight="1">
      <c r="A18" s="292" t="s">
        <v>341</v>
      </c>
      <c r="B18" s="292" t="s">
        <v>583</v>
      </c>
      <c r="C18" s="375" t="s">
        <v>1164</v>
      </c>
      <c r="D18" s="370" t="s">
        <v>1144</v>
      </c>
      <c r="E18" s="330" t="s">
        <v>1176</v>
      </c>
      <c r="F18" s="330" t="s">
        <v>1177</v>
      </c>
      <c r="G18" s="375" t="s">
        <v>1178</v>
      </c>
      <c r="H18" s="371">
        <v>3</v>
      </c>
      <c r="I18" s="375" t="s">
        <v>1125</v>
      </c>
      <c r="J18" s="334"/>
      <c r="K18" s="334"/>
      <c r="L18" s="370" t="s">
        <v>1179</v>
      </c>
      <c r="M18" s="372">
        <v>43374</v>
      </c>
      <c r="N18" s="372">
        <v>45107</v>
      </c>
      <c r="O18" s="336">
        <f t="shared" si="2"/>
        <v>247.57142857142858</v>
      </c>
      <c r="P18" s="159">
        <v>45107</v>
      </c>
      <c r="Q18" s="552">
        <v>3</v>
      </c>
      <c r="R18" s="338">
        <f>(P18-M18)/7-O18</f>
        <v>0</v>
      </c>
      <c r="S18" s="339" t="str">
        <f t="shared" ca="1" si="9"/>
        <v>Alerta</v>
      </c>
      <c r="T18" s="234">
        <v>2</v>
      </c>
      <c r="U18" s="190">
        <f t="shared" si="4"/>
        <v>0.66666666666666663</v>
      </c>
      <c r="V18" s="341" t="str">
        <f t="shared" si="5"/>
        <v>100%</v>
      </c>
      <c r="W18" s="342" t="str">
        <f t="shared" si="6"/>
        <v>Cumple</v>
      </c>
      <c r="X18" s="573" t="s">
        <v>1180</v>
      </c>
      <c r="Y18" s="573" t="s">
        <v>1181</v>
      </c>
      <c r="Z18" s="341">
        <f t="shared" si="7"/>
        <v>0.83333333333333326</v>
      </c>
      <c r="AA18" s="345"/>
      <c r="AB18" s="345"/>
      <c r="AC18" s="373"/>
      <c r="AD18" s="370"/>
    </row>
    <row r="19" spans="1:30" ht="192" customHeight="1">
      <c r="A19" s="292" t="s">
        <v>341</v>
      </c>
      <c r="B19" s="292" t="s">
        <v>583</v>
      </c>
      <c r="C19" s="375" t="s">
        <v>1182</v>
      </c>
      <c r="D19" s="370" t="s">
        <v>1183</v>
      </c>
      <c r="E19" s="330" t="s">
        <v>1184</v>
      </c>
      <c r="F19" s="330" t="s">
        <v>1185</v>
      </c>
      <c r="G19" s="371" t="s">
        <v>1186</v>
      </c>
      <c r="H19" s="371">
        <v>1</v>
      </c>
      <c r="I19" s="371" t="s">
        <v>1125</v>
      </c>
      <c r="J19" s="334"/>
      <c r="K19" s="334"/>
      <c r="L19" s="370" t="s">
        <v>1187</v>
      </c>
      <c r="M19" s="372">
        <v>43374</v>
      </c>
      <c r="N19" s="372">
        <v>43403</v>
      </c>
      <c r="O19" s="336">
        <f t="shared" si="2"/>
        <v>4.1428571428571432</v>
      </c>
      <c r="P19" s="159">
        <v>43645</v>
      </c>
      <c r="Q19" s="159">
        <f t="shared" si="8"/>
        <v>43645</v>
      </c>
      <c r="R19" s="338">
        <f>(Q19-M19)/7-O19</f>
        <v>34.571428571428569</v>
      </c>
      <c r="S19" s="339" t="str">
        <f t="shared" ca="1" si="9"/>
        <v>Alerta</v>
      </c>
      <c r="T19" s="234">
        <v>1</v>
      </c>
      <c r="U19" s="190">
        <f t="shared" si="4"/>
        <v>1</v>
      </c>
      <c r="V19" s="341">
        <f t="shared" si="5"/>
        <v>0</v>
      </c>
      <c r="W19" s="342" t="str">
        <f t="shared" si="6"/>
        <v>Incumple</v>
      </c>
      <c r="X19" s="269" t="s">
        <v>1188</v>
      </c>
      <c r="Y19" s="269" t="s">
        <v>1189</v>
      </c>
      <c r="Z19" s="341">
        <f t="shared" si="7"/>
        <v>0.5</v>
      </c>
      <c r="AA19" s="345">
        <v>0.5</v>
      </c>
      <c r="AB19" s="345">
        <v>0.5</v>
      </c>
      <c r="AC19" s="346">
        <f t="shared" si="1"/>
        <v>0.5</v>
      </c>
      <c r="AD19" s="370" t="s">
        <v>1190</v>
      </c>
    </row>
    <row r="20" spans="1:30" ht="197.25" customHeight="1">
      <c r="A20" s="292" t="s">
        <v>341</v>
      </c>
      <c r="B20" s="292" t="s">
        <v>583</v>
      </c>
      <c r="C20" s="375" t="s">
        <v>1182</v>
      </c>
      <c r="D20" s="370" t="s">
        <v>1183</v>
      </c>
      <c r="E20" s="330" t="s">
        <v>1184</v>
      </c>
      <c r="F20" s="330" t="s">
        <v>1191</v>
      </c>
      <c r="G20" s="371" t="s">
        <v>1192</v>
      </c>
      <c r="H20" s="371">
        <v>1</v>
      </c>
      <c r="I20" s="371" t="s">
        <v>1125</v>
      </c>
      <c r="J20" s="334"/>
      <c r="K20" s="334"/>
      <c r="L20" s="370" t="s">
        <v>1193</v>
      </c>
      <c r="M20" s="372">
        <v>43374</v>
      </c>
      <c r="N20" s="372">
        <v>43403</v>
      </c>
      <c r="O20" s="336">
        <f t="shared" si="2"/>
        <v>4.1428571428571432</v>
      </c>
      <c r="P20" s="159">
        <v>43646</v>
      </c>
      <c r="Q20" s="159">
        <f t="shared" si="8"/>
        <v>43646</v>
      </c>
      <c r="R20" s="338">
        <f>(Q20-M20)/7-O20</f>
        <v>34.714285714285708</v>
      </c>
      <c r="S20" s="339" t="str">
        <f t="shared" ca="1" si="9"/>
        <v>Alerta</v>
      </c>
      <c r="T20" s="234">
        <v>1</v>
      </c>
      <c r="U20" s="190">
        <f t="shared" si="4"/>
        <v>1</v>
      </c>
      <c r="V20" s="341">
        <f t="shared" si="5"/>
        <v>0</v>
      </c>
      <c r="W20" s="342" t="str">
        <f t="shared" si="6"/>
        <v>Incumple</v>
      </c>
      <c r="X20" s="269" t="s">
        <v>1188</v>
      </c>
      <c r="Y20" s="269" t="s">
        <v>1189</v>
      </c>
      <c r="Z20" s="341">
        <f t="shared" si="7"/>
        <v>0.5</v>
      </c>
      <c r="AA20" s="345">
        <v>0.5</v>
      </c>
      <c r="AB20" s="345">
        <v>0.5</v>
      </c>
      <c r="AC20" s="346">
        <f t="shared" si="1"/>
        <v>0.5</v>
      </c>
      <c r="AD20" s="370" t="s">
        <v>1190</v>
      </c>
    </row>
    <row r="21" spans="1:30" ht="189" customHeight="1">
      <c r="A21" s="292" t="s">
        <v>341</v>
      </c>
      <c r="B21" s="292" t="s">
        <v>583</v>
      </c>
      <c r="C21" s="375" t="s">
        <v>1182</v>
      </c>
      <c r="D21" s="370" t="s">
        <v>1183</v>
      </c>
      <c r="E21" s="330" t="s">
        <v>1184</v>
      </c>
      <c r="F21" s="330" t="s">
        <v>1194</v>
      </c>
      <c r="G21" s="371" t="s">
        <v>1195</v>
      </c>
      <c r="H21" s="371">
        <v>1</v>
      </c>
      <c r="I21" s="371" t="s">
        <v>1125</v>
      </c>
      <c r="J21" s="334"/>
      <c r="K21" s="334"/>
      <c r="L21" s="370" t="s">
        <v>1196</v>
      </c>
      <c r="M21" s="372">
        <v>43374</v>
      </c>
      <c r="N21" s="372">
        <v>43449</v>
      </c>
      <c r="O21" s="336">
        <f t="shared" si="2"/>
        <v>10.714285714285714</v>
      </c>
      <c r="P21" s="159">
        <v>43647</v>
      </c>
      <c r="Q21" s="159">
        <f t="shared" si="8"/>
        <v>43647</v>
      </c>
      <c r="R21" s="338">
        <f>(Q21-M21)/7-O21</f>
        <v>28.285714285714285</v>
      </c>
      <c r="S21" s="339" t="str">
        <f t="shared" ca="1" si="9"/>
        <v>Alerta</v>
      </c>
      <c r="T21" s="234">
        <v>1</v>
      </c>
      <c r="U21" s="190">
        <f t="shared" si="4"/>
        <v>1</v>
      </c>
      <c r="V21" s="341">
        <f t="shared" si="5"/>
        <v>0</v>
      </c>
      <c r="W21" s="342" t="str">
        <f t="shared" si="6"/>
        <v>Incumple</v>
      </c>
      <c r="X21" s="269" t="s">
        <v>1188</v>
      </c>
      <c r="Y21" s="269" t="s">
        <v>1189</v>
      </c>
      <c r="Z21" s="341">
        <f t="shared" si="7"/>
        <v>0.5</v>
      </c>
      <c r="AA21" s="345">
        <v>0.5</v>
      </c>
      <c r="AB21" s="345">
        <v>0.5</v>
      </c>
      <c r="AC21" s="346">
        <f t="shared" si="1"/>
        <v>0.5</v>
      </c>
      <c r="AD21" s="370" t="s">
        <v>1197</v>
      </c>
    </row>
    <row r="22" spans="1:30" ht="275.25">
      <c r="A22" s="292" t="s">
        <v>341</v>
      </c>
      <c r="B22" s="292" t="s">
        <v>583</v>
      </c>
      <c r="C22" s="375" t="s">
        <v>1198</v>
      </c>
      <c r="D22" s="370" t="s">
        <v>1199</v>
      </c>
      <c r="E22" s="330" t="s">
        <v>1200</v>
      </c>
      <c r="F22" s="330" t="s">
        <v>1201</v>
      </c>
      <c r="G22" s="371" t="s">
        <v>1202</v>
      </c>
      <c r="H22" s="371">
        <v>1</v>
      </c>
      <c r="I22" s="371" t="s">
        <v>1203</v>
      </c>
      <c r="J22" s="334"/>
      <c r="K22" s="334"/>
      <c r="L22" s="370" t="s">
        <v>1204</v>
      </c>
      <c r="M22" s="372">
        <v>43136</v>
      </c>
      <c r="N22" s="372">
        <v>43449</v>
      </c>
      <c r="O22" s="336">
        <f t="shared" si="2"/>
        <v>44.714285714285715</v>
      </c>
      <c r="P22" s="159">
        <v>43648</v>
      </c>
      <c r="Q22" s="159">
        <f t="shared" si="8"/>
        <v>43648</v>
      </c>
      <c r="R22" s="338">
        <f>(P22-M22)/7-O22</f>
        <v>28.428571428571423</v>
      </c>
      <c r="S22" s="339" t="str">
        <f t="shared" ca="1" si="9"/>
        <v>Alerta</v>
      </c>
      <c r="T22" s="234">
        <v>1</v>
      </c>
      <c r="U22" s="190">
        <f t="shared" si="4"/>
        <v>1</v>
      </c>
      <c r="V22" s="341">
        <f t="shared" si="5"/>
        <v>0.36421725239616631</v>
      </c>
      <c r="W22" s="342" t="str">
        <f t="shared" si="6"/>
        <v>Incumple</v>
      </c>
      <c r="X22" s="269" t="s">
        <v>1205</v>
      </c>
      <c r="Y22" s="269"/>
      <c r="Z22" s="341">
        <f t="shared" si="7"/>
        <v>0.6821086261980831</v>
      </c>
      <c r="AA22" s="345">
        <v>0.75</v>
      </c>
      <c r="AB22" s="345">
        <v>0.5</v>
      </c>
      <c r="AC22" s="346">
        <f t="shared" si="1"/>
        <v>0.6440362087326944</v>
      </c>
      <c r="AD22" s="370" t="s">
        <v>1206</v>
      </c>
    </row>
    <row r="23" spans="1:30" ht="144">
      <c r="A23" s="292" t="s">
        <v>341</v>
      </c>
      <c r="B23" s="292" t="s">
        <v>583</v>
      </c>
      <c r="C23" s="375" t="s">
        <v>1198</v>
      </c>
      <c r="D23" s="370" t="s">
        <v>1199</v>
      </c>
      <c r="E23" s="330" t="s">
        <v>1200</v>
      </c>
      <c r="F23" s="330" t="s">
        <v>1207</v>
      </c>
      <c r="G23" s="371" t="s">
        <v>1208</v>
      </c>
      <c r="H23" s="371">
        <v>1</v>
      </c>
      <c r="I23" s="371" t="s">
        <v>1203</v>
      </c>
      <c r="J23" s="334"/>
      <c r="K23" s="334"/>
      <c r="L23" s="370" t="s">
        <v>1209</v>
      </c>
      <c r="M23" s="372">
        <v>43136</v>
      </c>
      <c r="N23" s="372">
        <v>43449</v>
      </c>
      <c r="O23" s="336">
        <f t="shared" si="2"/>
        <v>44.714285714285715</v>
      </c>
      <c r="P23" s="159">
        <v>43649</v>
      </c>
      <c r="Q23" s="159">
        <f t="shared" si="8"/>
        <v>43649</v>
      </c>
      <c r="R23" s="338">
        <f>(P23-M23)/7-O23</f>
        <v>28.571428571428577</v>
      </c>
      <c r="S23" s="339" t="str">
        <f t="shared" ca="1" si="9"/>
        <v>Alerta</v>
      </c>
      <c r="T23" s="234">
        <v>1</v>
      </c>
      <c r="U23" s="190">
        <f t="shared" si="4"/>
        <v>1</v>
      </c>
      <c r="V23" s="341">
        <f t="shared" si="5"/>
        <v>0.36102236421725231</v>
      </c>
      <c r="W23" s="342" t="str">
        <f t="shared" si="6"/>
        <v>Incumple</v>
      </c>
      <c r="X23" s="269" t="s">
        <v>1205</v>
      </c>
      <c r="Y23" s="269"/>
      <c r="Z23" s="341">
        <f t="shared" si="7"/>
        <v>0.68051118210862616</v>
      </c>
      <c r="AA23" s="345">
        <v>1</v>
      </c>
      <c r="AB23" s="345">
        <v>1</v>
      </c>
      <c r="AC23" s="346">
        <f t="shared" si="1"/>
        <v>0.89350372736954198</v>
      </c>
      <c r="AD23" s="370" t="s">
        <v>1210</v>
      </c>
    </row>
    <row r="24" spans="1:30" ht="144">
      <c r="A24" s="292" t="s">
        <v>341</v>
      </c>
      <c r="B24" s="292" t="s">
        <v>583</v>
      </c>
      <c r="C24" s="375" t="s">
        <v>1198</v>
      </c>
      <c r="D24" s="370" t="s">
        <v>1199</v>
      </c>
      <c r="E24" s="330" t="s">
        <v>1200</v>
      </c>
      <c r="F24" s="330" t="s">
        <v>1211</v>
      </c>
      <c r="G24" s="371" t="s">
        <v>1212</v>
      </c>
      <c r="H24" s="371">
        <v>1</v>
      </c>
      <c r="I24" s="371" t="s">
        <v>1213</v>
      </c>
      <c r="J24" s="334"/>
      <c r="K24" s="334"/>
      <c r="L24" s="370" t="s">
        <v>1214</v>
      </c>
      <c r="M24" s="372">
        <v>43136</v>
      </c>
      <c r="N24" s="372">
        <v>43449</v>
      </c>
      <c r="O24" s="336">
        <f t="shared" si="2"/>
        <v>44.714285714285715</v>
      </c>
      <c r="P24" s="159">
        <v>43650</v>
      </c>
      <c r="Q24" s="159">
        <f t="shared" si="8"/>
        <v>43650</v>
      </c>
      <c r="R24" s="338">
        <f>(Q24-M24)/7-O24</f>
        <v>28.714285714285715</v>
      </c>
      <c r="S24" s="339" t="str">
        <f t="shared" ca="1" si="9"/>
        <v>Alerta</v>
      </c>
      <c r="T24" s="234">
        <v>1</v>
      </c>
      <c r="U24" s="190">
        <f t="shared" si="4"/>
        <v>1</v>
      </c>
      <c r="V24" s="341">
        <f t="shared" si="5"/>
        <v>0.35782747603833864</v>
      </c>
      <c r="W24" s="342" t="str">
        <f t="shared" si="6"/>
        <v>Incumple</v>
      </c>
      <c r="X24" s="269" t="s">
        <v>1205</v>
      </c>
      <c r="Y24" s="269"/>
      <c r="Z24" s="341">
        <f t="shared" si="7"/>
        <v>0.67891373801916932</v>
      </c>
      <c r="AA24" s="345">
        <v>1</v>
      </c>
      <c r="AB24" s="345">
        <v>1</v>
      </c>
      <c r="AC24" s="346">
        <f t="shared" si="1"/>
        <v>0.89297124600638977</v>
      </c>
      <c r="AD24" s="370" t="s">
        <v>1210</v>
      </c>
    </row>
    <row r="25" spans="1:30" ht="172.5" customHeight="1">
      <c r="A25" s="292" t="s">
        <v>341</v>
      </c>
      <c r="B25" s="292" t="s">
        <v>583</v>
      </c>
      <c r="C25" s="375" t="s">
        <v>1215</v>
      </c>
      <c r="D25" s="370" t="s">
        <v>1216</v>
      </c>
      <c r="E25" s="330" t="s">
        <v>1217</v>
      </c>
      <c r="F25" s="330" t="s">
        <v>1218</v>
      </c>
      <c r="G25" s="371" t="s">
        <v>1219</v>
      </c>
      <c r="H25" s="377">
        <v>1</v>
      </c>
      <c r="I25" s="371" t="s">
        <v>1203</v>
      </c>
      <c r="J25" s="334"/>
      <c r="K25" s="334"/>
      <c r="L25" s="370" t="s">
        <v>1220</v>
      </c>
      <c r="M25" s="372">
        <v>43374</v>
      </c>
      <c r="N25" s="372">
        <v>45107</v>
      </c>
      <c r="O25" s="336">
        <f t="shared" si="2"/>
        <v>247.57142857142858</v>
      </c>
      <c r="P25" s="159">
        <v>45107</v>
      </c>
      <c r="Q25" s="159">
        <v>45107</v>
      </c>
      <c r="R25" s="338">
        <f t="shared" ref="R25:R30" si="10">(Q25-M25)/7-O25</f>
        <v>0</v>
      </c>
      <c r="S25" s="339" t="str">
        <f t="shared" ca="1" si="9"/>
        <v>Alerta</v>
      </c>
      <c r="T25" s="234">
        <v>1</v>
      </c>
      <c r="U25" s="190">
        <f t="shared" si="4"/>
        <v>1</v>
      </c>
      <c r="V25" s="341" t="str">
        <f t="shared" si="5"/>
        <v>100%</v>
      </c>
      <c r="W25" s="342" t="str">
        <f t="shared" si="6"/>
        <v>Cumple</v>
      </c>
      <c r="X25" s="269" t="s">
        <v>1221</v>
      </c>
      <c r="Y25" s="269" t="s">
        <v>1222</v>
      </c>
      <c r="Z25" s="341">
        <f t="shared" si="7"/>
        <v>1</v>
      </c>
      <c r="AA25" s="345">
        <v>1</v>
      </c>
      <c r="AB25" s="345">
        <v>0.25</v>
      </c>
      <c r="AC25" s="346">
        <f t="shared" si="1"/>
        <v>0.75</v>
      </c>
      <c r="AD25" s="370" t="s">
        <v>1223</v>
      </c>
    </row>
    <row r="26" spans="1:30" ht="219" customHeight="1">
      <c r="A26" s="292" t="s">
        <v>341</v>
      </c>
      <c r="B26" s="292" t="s">
        <v>583</v>
      </c>
      <c r="C26" s="375" t="s">
        <v>1215</v>
      </c>
      <c r="D26" s="370" t="s">
        <v>1216</v>
      </c>
      <c r="E26" s="330" t="s">
        <v>1217</v>
      </c>
      <c r="F26" s="330" t="s">
        <v>1224</v>
      </c>
      <c r="G26" s="371" t="s">
        <v>1225</v>
      </c>
      <c r="H26" s="377">
        <v>1</v>
      </c>
      <c r="I26" s="371" t="s">
        <v>1203</v>
      </c>
      <c r="J26" s="334"/>
      <c r="K26" s="334"/>
      <c r="L26" s="370" t="s">
        <v>1220</v>
      </c>
      <c r="M26" s="372">
        <v>43374</v>
      </c>
      <c r="N26" s="372">
        <v>45107</v>
      </c>
      <c r="O26" s="336">
        <f t="shared" si="2"/>
        <v>247.57142857142858</v>
      </c>
      <c r="P26" s="159">
        <v>45107</v>
      </c>
      <c r="Q26" s="552">
        <f t="shared" si="8"/>
        <v>45107</v>
      </c>
      <c r="R26" s="338">
        <f t="shared" si="10"/>
        <v>0</v>
      </c>
      <c r="S26" s="339" t="str">
        <f t="shared" ca="1" si="9"/>
        <v>Alerta</v>
      </c>
      <c r="T26" s="234">
        <v>0.4</v>
      </c>
      <c r="U26" s="190">
        <f t="shared" si="4"/>
        <v>0.4</v>
      </c>
      <c r="V26" s="341" t="str">
        <f t="shared" si="5"/>
        <v>100%</v>
      </c>
      <c r="W26" s="342" t="str">
        <f t="shared" si="6"/>
        <v>Cumple</v>
      </c>
      <c r="X26" s="573" t="s">
        <v>1226</v>
      </c>
      <c r="Y26" s="573" t="s">
        <v>1227</v>
      </c>
      <c r="Z26" s="341">
        <f t="shared" si="7"/>
        <v>0.7</v>
      </c>
      <c r="AA26" s="345"/>
      <c r="AB26" s="345"/>
      <c r="AC26" s="373"/>
      <c r="AD26" s="370"/>
    </row>
    <row r="27" spans="1:30" ht="274.5" customHeight="1">
      <c r="A27" s="292" t="s">
        <v>341</v>
      </c>
      <c r="B27" s="292" t="s">
        <v>583</v>
      </c>
      <c r="C27" s="375" t="s">
        <v>1215</v>
      </c>
      <c r="D27" s="370" t="s">
        <v>1216</v>
      </c>
      <c r="E27" s="330" t="s">
        <v>1217</v>
      </c>
      <c r="F27" s="330" t="s">
        <v>1228</v>
      </c>
      <c r="G27" s="371" t="s">
        <v>1229</v>
      </c>
      <c r="H27" s="377">
        <v>1</v>
      </c>
      <c r="I27" s="371" t="s">
        <v>1203</v>
      </c>
      <c r="J27" s="334"/>
      <c r="K27" s="334"/>
      <c r="L27" s="370" t="s">
        <v>1220</v>
      </c>
      <c r="M27" s="372">
        <v>43374</v>
      </c>
      <c r="N27" s="372">
        <v>45107</v>
      </c>
      <c r="O27" s="336">
        <f t="shared" si="2"/>
        <v>247.57142857142858</v>
      </c>
      <c r="P27" s="159">
        <v>45107</v>
      </c>
      <c r="Q27" s="552">
        <f t="shared" si="8"/>
        <v>45107</v>
      </c>
      <c r="R27" s="338">
        <f t="shared" si="10"/>
        <v>0</v>
      </c>
      <c r="S27" s="339" t="str">
        <f t="shared" ca="1" si="9"/>
        <v>Alerta</v>
      </c>
      <c r="T27" s="234">
        <v>0.4</v>
      </c>
      <c r="U27" s="190">
        <f t="shared" si="4"/>
        <v>0.4</v>
      </c>
      <c r="V27" s="341" t="str">
        <f t="shared" si="5"/>
        <v>100%</v>
      </c>
      <c r="W27" s="342" t="str">
        <f t="shared" si="6"/>
        <v>Cumple</v>
      </c>
      <c r="X27" s="573" t="s">
        <v>1230</v>
      </c>
      <c r="Y27" s="269" t="s">
        <v>1231</v>
      </c>
      <c r="Z27" s="341">
        <f t="shared" si="7"/>
        <v>0.7</v>
      </c>
      <c r="AA27" s="345"/>
      <c r="AB27" s="345"/>
      <c r="AC27" s="373"/>
      <c r="AD27" s="370"/>
    </row>
    <row r="28" spans="1:30" ht="274.5" customHeight="1">
      <c r="A28" s="292" t="s">
        <v>341</v>
      </c>
      <c r="B28" s="292" t="s">
        <v>583</v>
      </c>
      <c r="C28" s="375" t="s">
        <v>1232</v>
      </c>
      <c r="D28" s="370" t="s">
        <v>1233</v>
      </c>
      <c r="E28" s="330" t="s">
        <v>1234</v>
      </c>
      <c r="F28" s="330" t="s">
        <v>1235</v>
      </c>
      <c r="G28" s="371" t="s">
        <v>1236</v>
      </c>
      <c r="H28" s="371">
        <v>1</v>
      </c>
      <c r="I28" s="371" t="s">
        <v>1148</v>
      </c>
      <c r="J28" s="334"/>
      <c r="K28" s="334"/>
      <c r="L28" s="370"/>
      <c r="M28" s="372">
        <v>43374</v>
      </c>
      <c r="N28" s="372">
        <v>45107</v>
      </c>
      <c r="O28" s="336">
        <f t="shared" si="2"/>
        <v>247.57142857142858</v>
      </c>
      <c r="P28" s="159">
        <v>45107</v>
      </c>
      <c r="Q28" s="552">
        <f t="shared" si="8"/>
        <v>45107</v>
      </c>
      <c r="R28" s="338">
        <f t="shared" si="10"/>
        <v>0</v>
      </c>
      <c r="S28" s="339" t="str">
        <f t="shared" ca="1" si="9"/>
        <v>Alerta</v>
      </c>
      <c r="T28" s="234">
        <v>0.8</v>
      </c>
      <c r="U28" s="190">
        <f t="shared" si="4"/>
        <v>0.8</v>
      </c>
      <c r="V28" s="341" t="str">
        <f t="shared" si="5"/>
        <v>100%</v>
      </c>
      <c r="W28" s="342" t="str">
        <f t="shared" si="6"/>
        <v>Cumple</v>
      </c>
      <c r="X28" s="269" t="s">
        <v>1237</v>
      </c>
      <c r="Y28" s="269" t="s">
        <v>1238</v>
      </c>
      <c r="Z28" s="341">
        <f t="shared" si="7"/>
        <v>0.9</v>
      </c>
      <c r="AA28" s="345"/>
      <c r="AB28" s="345"/>
      <c r="AC28" s="373"/>
      <c r="AD28" s="370" t="s">
        <v>1239</v>
      </c>
    </row>
    <row r="29" spans="1:30" ht="86.25">
      <c r="A29" s="292" t="s">
        <v>341</v>
      </c>
      <c r="B29" s="292" t="s">
        <v>583</v>
      </c>
      <c r="C29" s="375" t="s">
        <v>1240</v>
      </c>
      <c r="D29" s="370" t="s">
        <v>1241</v>
      </c>
      <c r="E29" s="330" t="s">
        <v>1242</v>
      </c>
      <c r="F29" s="330" t="s">
        <v>1243</v>
      </c>
      <c r="G29" s="371" t="s">
        <v>1244</v>
      </c>
      <c r="H29" s="376">
        <v>3</v>
      </c>
      <c r="I29" s="371" t="s">
        <v>1245</v>
      </c>
      <c r="J29" s="334"/>
      <c r="K29" s="334"/>
      <c r="L29" s="370" t="s">
        <v>1246</v>
      </c>
      <c r="M29" s="372">
        <v>43466</v>
      </c>
      <c r="N29" s="372">
        <v>43739</v>
      </c>
      <c r="O29" s="336">
        <f t="shared" si="2"/>
        <v>39</v>
      </c>
      <c r="P29" s="159">
        <v>43659</v>
      </c>
      <c r="Q29" s="159">
        <v>44560</v>
      </c>
      <c r="R29" s="338">
        <f t="shared" si="10"/>
        <v>117.28571428571428</v>
      </c>
      <c r="S29" s="339" t="str">
        <f t="shared" ca="1" si="9"/>
        <v>Alerta</v>
      </c>
      <c r="T29" s="234">
        <v>3</v>
      </c>
      <c r="U29" s="190">
        <f t="shared" si="4"/>
        <v>1</v>
      </c>
      <c r="V29" s="341">
        <f t="shared" si="5"/>
        <v>0</v>
      </c>
      <c r="W29" s="342" t="str">
        <f t="shared" si="6"/>
        <v>Incumple</v>
      </c>
      <c r="X29" s="269" t="s">
        <v>1247</v>
      </c>
      <c r="Y29" s="269" t="s">
        <v>1248</v>
      </c>
      <c r="Z29" s="341">
        <f t="shared" si="7"/>
        <v>0.5</v>
      </c>
      <c r="AA29" s="345"/>
      <c r="AB29" s="345"/>
      <c r="AC29" s="346">
        <f t="shared" si="1"/>
        <v>0.5</v>
      </c>
      <c r="AD29" s="370" t="s">
        <v>1249</v>
      </c>
    </row>
    <row r="30" spans="1:30" ht="115.5">
      <c r="A30" s="292" t="s">
        <v>341</v>
      </c>
      <c r="B30" s="292" t="s">
        <v>583</v>
      </c>
      <c r="C30" s="375" t="s">
        <v>1240</v>
      </c>
      <c r="D30" s="370" t="s">
        <v>1241</v>
      </c>
      <c r="E30" s="330" t="s">
        <v>1242</v>
      </c>
      <c r="F30" s="330" t="s">
        <v>1250</v>
      </c>
      <c r="G30" s="371" t="s">
        <v>1251</v>
      </c>
      <c r="H30" s="376">
        <v>1</v>
      </c>
      <c r="I30" s="371" t="s">
        <v>1252</v>
      </c>
      <c r="J30" s="334"/>
      <c r="K30" s="334"/>
      <c r="L30" s="370" t="s">
        <v>1253</v>
      </c>
      <c r="M30" s="372">
        <v>43374</v>
      </c>
      <c r="N30" s="372">
        <v>43739</v>
      </c>
      <c r="O30" s="336">
        <f t="shared" si="2"/>
        <v>52.142857142857146</v>
      </c>
      <c r="P30" s="159">
        <v>43660</v>
      </c>
      <c r="Q30" s="552">
        <f t="shared" si="8"/>
        <v>43660</v>
      </c>
      <c r="R30" s="338">
        <f t="shared" si="10"/>
        <v>-11.285714285714292</v>
      </c>
      <c r="S30" s="339" t="str">
        <f t="shared" ca="1" si="9"/>
        <v>Alerta</v>
      </c>
      <c r="T30" s="234">
        <v>0.4</v>
      </c>
      <c r="U30" s="190">
        <f t="shared" si="4"/>
        <v>0.4</v>
      </c>
      <c r="V30" s="341" t="str">
        <f t="shared" si="5"/>
        <v>100%</v>
      </c>
      <c r="W30" s="342" t="str">
        <f t="shared" si="6"/>
        <v>Cumple</v>
      </c>
      <c r="X30" s="573" t="s">
        <v>1254</v>
      </c>
      <c r="Y30" s="269" t="s">
        <v>1255</v>
      </c>
      <c r="Z30" s="341">
        <f t="shared" si="7"/>
        <v>0.7</v>
      </c>
      <c r="AA30" s="345"/>
      <c r="AB30" s="345"/>
      <c r="AC30" s="373"/>
      <c r="AD30" s="370"/>
    </row>
    <row r="31" spans="1:30" ht="115.5">
      <c r="A31" s="292" t="s">
        <v>341</v>
      </c>
      <c r="B31" s="292" t="s">
        <v>583</v>
      </c>
      <c r="C31" s="375" t="s">
        <v>1240</v>
      </c>
      <c r="D31" s="370" t="s">
        <v>1241</v>
      </c>
      <c r="E31" s="330" t="s">
        <v>1242</v>
      </c>
      <c r="F31" s="330" t="s">
        <v>1256</v>
      </c>
      <c r="G31" s="370" t="s">
        <v>1257</v>
      </c>
      <c r="H31" s="370">
        <v>4</v>
      </c>
      <c r="I31" s="371" t="s">
        <v>1252</v>
      </c>
      <c r="J31" s="334"/>
      <c r="K31" s="334"/>
      <c r="L31" s="370" t="s">
        <v>1258</v>
      </c>
      <c r="M31" s="372">
        <v>43374</v>
      </c>
      <c r="N31" s="372">
        <v>43739</v>
      </c>
      <c r="O31" s="336">
        <f t="shared" si="2"/>
        <v>52.142857142857146</v>
      </c>
      <c r="P31" s="159">
        <v>43661</v>
      </c>
      <c r="Q31" s="552">
        <f t="shared" si="8"/>
        <v>43661</v>
      </c>
      <c r="R31" s="338">
        <f>(P31-M31)/7-O31</f>
        <v>-11.142857142857146</v>
      </c>
      <c r="S31" s="339" t="str">
        <f ca="1">IF((N31-TODAY())/7&gt;=0,"En tiempo","Alerta")</f>
        <v>Alerta</v>
      </c>
      <c r="T31" s="234">
        <v>0</v>
      </c>
      <c r="U31" s="190">
        <f t="shared" si="4"/>
        <v>0</v>
      </c>
      <c r="V31" s="341" t="str">
        <f t="shared" si="5"/>
        <v>100%</v>
      </c>
      <c r="W31" s="342" t="str">
        <f t="shared" si="6"/>
        <v>Cumple</v>
      </c>
      <c r="X31" s="573" t="s">
        <v>1259</v>
      </c>
      <c r="Y31" s="269" t="s">
        <v>1260</v>
      </c>
      <c r="Z31" s="341">
        <f t="shared" si="7"/>
        <v>0.5</v>
      </c>
      <c r="AA31" s="345"/>
      <c r="AB31" s="345"/>
      <c r="AC31" s="373"/>
      <c r="AD31" s="370"/>
    </row>
    <row r="32" spans="1:30" ht="30.75" customHeight="1" thickBot="1">
      <c r="G32" s="327" t="s">
        <v>153</v>
      </c>
      <c r="H32" s="336">
        <f>SUM(H7:H31)</f>
        <v>42</v>
      </c>
      <c r="R32" s="754" t="s">
        <v>154</v>
      </c>
      <c r="S32" s="754"/>
      <c r="T32" s="354">
        <f>SUM(T7:T31)</f>
        <v>32.9</v>
      </c>
      <c r="U32" s="161">
        <f>AVERAGE(U7:U31)</f>
        <v>0.78266666666666651</v>
      </c>
      <c r="V32" s="352" t="s">
        <v>43</v>
      </c>
      <c r="W32" s="353">
        <f>(COUNTIF(W7:W31,"Cumple")*100%)/COUNTA(W7:W31)</f>
        <v>0.32</v>
      </c>
      <c r="AA32" s="689" t="s">
        <v>154</v>
      </c>
      <c r="AB32" s="753"/>
      <c r="AC32" s="72">
        <f>AVERAGE(AC7:AC31)</f>
        <v>0.66765556062680653</v>
      </c>
    </row>
  </sheetData>
  <autoFilter ref="A6:AD32" xr:uid="{D8E0F7AD-5EA4-4CC1-A127-8512A1FA8B7F}"/>
  <mergeCells count="30">
    <mergeCell ref="AA32:AB32"/>
    <mergeCell ref="R32:S32"/>
    <mergeCell ref="V4:Y4"/>
    <mergeCell ref="A4:B4"/>
    <mergeCell ref="C4:F4"/>
    <mergeCell ref="G4:H4"/>
    <mergeCell ref="I4:N4"/>
    <mergeCell ref="O4:P4"/>
    <mergeCell ref="Q4:S4"/>
    <mergeCell ref="C3:F3"/>
    <mergeCell ref="G3:H3"/>
    <mergeCell ref="I3:N3"/>
    <mergeCell ref="O3:P3"/>
    <mergeCell ref="T4:U4"/>
    <mergeCell ref="O1:P2"/>
    <mergeCell ref="Q1:Y2"/>
    <mergeCell ref="A5:N5"/>
    <mergeCell ref="O5:Y5"/>
    <mergeCell ref="Z5:AD5"/>
    <mergeCell ref="W3:X3"/>
    <mergeCell ref="Z1:AD1"/>
    <mergeCell ref="A2:B2"/>
    <mergeCell ref="C2:F2"/>
    <mergeCell ref="G2:H2"/>
    <mergeCell ref="I2:N2"/>
    <mergeCell ref="Z2:AD4"/>
    <mergeCell ref="Q3:V3"/>
    <mergeCell ref="A1:B1"/>
    <mergeCell ref="C1:N1"/>
    <mergeCell ref="A3:B3"/>
  </mergeCells>
  <conditionalFormatting sqref="R7:R31">
    <cfRule type="cellIs" dxfId="249" priority="27" operator="greaterThan">
      <formula>0</formula>
    </cfRule>
    <cfRule type="cellIs" dxfId="248" priority="28" operator="lessThan">
      <formula>0</formula>
    </cfRule>
  </conditionalFormatting>
  <conditionalFormatting sqref="S7:S31">
    <cfRule type="containsText" dxfId="247" priority="25" operator="containsText" text="Alerta">
      <formula>NOT(ISERROR(SEARCH("Alerta",S7)))</formula>
    </cfRule>
    <cfRule type="containsText" dxfId="246" priority="26" operator="containsText" text="En tiempo">
      <formula>NOT(ISERROR(SEARCH("En tiempo",S7)))</formula>
    </cfRule>
  </conditionalFormatting>
  <conditionalFormatting sqref="U7:U32">
    <cfRule type="cellIs" dxfId="245" priority="15" stopIfTrue="1" operator="between">
      <formula>0.8</formula>
      <formula>1</formula>
    </cfRule>
    <cfRule type="cellIs" dxfId="244" priority="16" stopIfTrue="1" operator="between">
      <formula>0.5</formula>
      <formula>0.79</formula>
    </cfRule>
    <cfRule type="cellIs" dxfId="243" priority="17" stopIfTrue="1" operator="between">
      <formula>0.3</formula>
      <formula>0.49</formula>
    </cfRule>
    <cfRule type="cellIs" dxfId="242" priority="18" stopIfTrue="1" operator="between">
      <formula>0</formula>
      <formula>0.29</formula>
    </cfRule>
  </conditionalFormatting>
  <conditionalFormatting sqref="V7:V31 Z7:Z31">
    <cfRule type="cellIs" dxfId="241" priority="19" operator="between">
      <formula>0.19</formula>
      <formula>0</formula>
    </cfRule>
    <cfRule type="cellIs" dxfId="240" priority="20" operator="between">
      <formula>0.49</formula>
      <formula>0.2</formula>
    </cfRule>
    <cfRule type="cellIs" dxfId="239" priority="21" operator="between">
      <formula>0.89</formula>
      <formula>0.5</formula>
    </cfRule>
    <cfRule type="cellIs" dxfId="238" priority="22" operator="between">
      <formula>1</formula>
      <formula>0.9</formula>
    </cfRule>
  </conditionalFormatting>
  <conditionalFormatting sqref="W7:W31">
    <cfRule type="containsText" dxfId="237" priority="23" operator="containsText" text="Incumple">
      <formula>NOT(ISERROR(SEARCH("Incumple",W7)))</formula>
    </cfRule>
    <cfRule type="containsText" dxfId="236" priority="24" operator="containsText" text="Cumple">
      <formula>NOT(ISERROR(SEARCH("Cumple",W7)))</formula>
    </cfRule>
  </conditionalFormatting>
  <conditionalFormatting sqref="W32">
    <cfRule type="cellIs" dxfId="235" priority="11" operator="between">
      <formula>0.19</formula>
      <formula>0</formula>
    </cfRule>
    <cfRule type="cellIs" dxfId="234" priority="12" operator="between">
      <formula>0.49</formula>
      <formula>0.2</formula>
    </cfRule>
    <cfRule type="cellIs" dxfId="233" priority="13" operator="between">
      <formula>0.89</formula>
      <formula>0.5</formula>
    </cfRule>
    <cfRule type="cellIs" dxfId="232" priority="14" operator="between">
      <formula>1</formula>
      <formula>0.9</formula>
    </cfRule>
  </conditionalFormatting>
  <conditionalFormatting sqref="AC7:AC32">
    <cfRule type="cellIs" dxfId="231" priority="1" operator="between">
      <formula>0.3</formula>
      <formula>0</formula>
    </cfRule>
    <cfRule type="cellIs" dxfId="230" priority="2" operator="between">
      <formula>0.6999</formula>
      <formula>0.3111</formula>
    </cfRule>
    <cfRule type="cellIs" dxfId="229" priority="3" operator="between">
      <formula>1</formula>
      <formula>0.7</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AV17"/>
  <sheetViews>
    <sheetView zoomScale="25" zoomScaleNormal="25" zoomScaleSheetLayoutView="49" workbookViewId="0">
      <selection activeCell="AD7" sqref="AD7"/>
    </sheetView>
  </sheetViews>
  <sheetFormatPr defaultColWidth="17.5703125" defaultRowHeight="12.75"/>
  <cols>
    <col min="1" max="1" width="12.140625" customWidth="1"/>
    <col min="2" max="2" width="11.42578125" customWidth="1"/>
    <col min="3" max="3" width="60.5703125" customWidth="1"/>
    <col min="4" max="4" width="44.140625" customWidth="1"/>
    <col min="5" max="5" width="36.7109375" customWidth="1"/>
    <col min="6" max="6" width="33.5703125" customWidth="1"/>
    <col min="7" max="7" width="32.85546875" customWidth="1"/>
    <col min="8" max="8" width="13" customWidth="1"/>
    <col min="9" max="9" width="26.5703125" customWidth="1"/>
    <col min="10" max="10" width="16.140625" customWidth="1"/>
    <col min="11" max="11" width="21.42578125" customWidth="1"/>
    <col min="12" max="12" width="20.5703125" customWidth="1"/>
    <col min="13" max="13" width="19" customWidth="1"/>
    <col min="14" max="14" width="20.28515625" customWidth="1"/>
    <col min="15" max="15" width="12" customWidth="1"/>
    <col min="16" max="16" width="22.140625" customWidth="1"/>
    <col min="17" max="17" width="23.42578125" customWidth="1"/>
    <col min="18" max="18" width="11.5703125" customWidth="1"/>
    <col min="19" max="19" width="11.140625" customWidth="1"/>
    <col min="20" max="20" width="15" customWidth="1"/>
    <col min="21" max="21" width="16.5703125" customWidth="1"/>
    <col min="22" max="22" width="14.28515625" customWidth="1"/>
    <col min="23" max="23" width="16.7109375" customWidth="1"/>
    <col min="24" max="24" width="56.85546875" customWidth="1"/>
    <col min="25" max="25" width="105.28515625" customWidth="1"/>
    <col min="26" max="26" width="12.28515625" customWidth="1"/>
    <col min="27" max="27" width="13.42578125" customWidth="1"/>
    <col min="28" max="28" width="14.140625" customWidth="1"/>
    <col min="29" max="29" width="14.5703125" customWidth="1"/>
    <col min="30" max="30" width="101.5703125" customWidth="1"/>
    <col min="31" max="31" width="19.7109375" customWidth="1"/>
    <col min="42" max="42" width="28.5703125" hidden="1" customWidth="1"/>
    <col min="43" max="43" width="42" hidden="1" customWidth="1"/>
    <col min="44" max="44" width="0" hidden="1" customWidth="1"/>
    <col min="45" max="45" width="51.42578125" hidden="1" customWidth="1"/>
    <col min="46" max="46" width="8.5703125" hidden="1" customWidth="1"/>
    <col min="47" max="47" width="7.140625" hidden="1" customWidth="1"/>
    <col min="48" max="48" width="20.85546875" hidden="1" customWidth="1"/>
    <col min="49" max="49" width="0" hidden="1" customWidth="1"/>
    <col min="50" max="50" width="22.42578125" customWidth="1"/>
  </cols>
  <sheetData>
    <row r="1" spans="1:30" ht="105.6"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3" t="s">
        <v>1</v>
      </c>
      <c r="AA1" s="663"/>
      <c r="AB1" s="663"/>
      <c r="AC1" s="663"/>
      <c r="AD1" s="663"/>
    </row>
    <row r="2" spans="1:30" ht="20.100000000000001"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63"/>
      <c r="AA2" s="663"/>
      <c r="AB2" s="663"/>
      <c r="AC2" s="663"/>
      <c r="AD2" s="663"/>
    </row>
    <row r="3" spans="1:30" ht="25.5" customHeight="1" thickBot="1">
      <c r="A3" s="677" t="s">
        <v>6</v>
      </c>
      <c r="B3" s="677"/>
      <c r="C3" s="663" t="s">
        <v>1261</v>
      </c>
      <c r="D3" s="663"/>
      <c r="E3" s="663"/>
      <c r="F3" s="663"/>
      <c r="G3" s="677" t="s">
        <v>8</v>
      </c>
      <c r="H3" s="677"/>
      <c r="I3" s="665" t="s">
        <v>1262</v>
      </c>
      <c r="J3" s="663"/>
      <c r="K3" s="663"/>
      <c r="L3" s="663"/>
      <c r="M3" s="663"/>
      <c r="N3" s="663"/>
      <c r="O3" s="677" t="s">
        <v>9</v>
      </c>
      <c r="P3" s="677"/>
      <c r="Q3" s="665">
        <v>44925</v>
      </c>
      <c r="R3" s="665"/>
      <c r="S3" s="665"/>
      <c r="T3" s="665"/>
      <c r="U3" s="665"/>
      <c r="V3" s="665"/>
      <c r="W3" s="677" t="s">
        <v>10</v>
      </c>
      <c r="X3" s="677"/>
      <c r="Y3" s="378" t="s">
        <v>916</v>
      </c>
      <c r="Z3" s="663"/>
      <c r="AA3" s="663"/>
      <c r="AB3" s="663"/>
      <c r="AC3" s="663"/>
      <c r="AD3" s="663"/>
    </row>
    <row r="4" spans="1:30" ht="42.75" customHeight="1" thickBot="1">
      <c r="A4" s="677" t="s">
        <v>12</v>
      </c>
      <c r="B4" s="677"/>
      <c r="C4" s="663" t="s">
        <v>1263</v>
      </c>
      <c r="D4" s="663"/>
      <c r="E4" s="663"/>
      <c r="F4" s="663"/>
      <c r="G4" s="677" t="s">
        <v>14</v>
      </c>
      <c r="H4" s="677"/>
      <c r="I4" s="665" t="s">
        <v>1264</v>
      </c>
      <c r="J4" s="665"/>
      <c r="K4" s="665"/>
      <c r="L4" s="665"/>
      <c r="M4" s="665"/>
      <c r="N4" s="665"/>
      <c r="O4" s="677" t="s">
        <v>15</v>
      </c>
      <c r="P4" s="677"/>
      <c r="Q4" s="663" t="s">
        <v>16</v>
      </c>
      <c r="R4" s="663"/>
      <c r="S4" s="663"/>
      <c r="T4" s="664" t="s">
        <v>17</v>
      </c>
      <c r="U4" s="664"/>
      <c r="V4" s="663"/>
      <c r="W4" s="663"/>
      <c r="X4" s="663"/>
      <c r="Y4" s="663"/>
      <c r="Z4" s="663"/>
      <c r="AA4" s="663"/>
      <c r="AB4" s="663"/>
      <c r="AC4" s="663"/>
      <c r="AD4" s="663"/>
    </row>
    <row r="5" spans="1:30" ht="28.5" customHeight="1" thickBot="1">
      <c r="A5" s="755" t="s">
        <v>18</v>
      </c>
      <c r="B5" s="755"/>
      <c r="C5" s="755"/>
      <c r="D5" s="755"/>
      <c r="E5" s="755"/>
      <c r="F5" s="755"/>
      <c r="G5" s="755"/>
      <c r="H5" s="755"/>
      <c r="I5" s="755"/>
      <c r="J5" s="755"/>
      <c r="K5" s="755"/>
      <c r="L5" s="755"/>
      <c r="M5" s="755"/>
      <c r="N5" s="755"/>
      <c r="O5" s="756" t="s">
        <v>19</v>
      </c>
      <c r="P5" s="756"/>
      <c r="Q5" s="756"/>
      <c r="R5" s="756"/>
      <c r="S5" s="756"/>
      <c r="T5" s="756"/>
      <c r="U5" s="756"/>
      <c r="V5" s="756"/>
      <c r="W5" s="756"/>
      <c r="X5" s="756"/>
      <c r="Y5" s="756"/>
      <c r="Z5" s="757" t="s">
        <v>20</v>
      </c>
      <c r="AA5" s="757"/>
      <c r="AB5" s="757"/>
      <c r="AC5" s="757"/>
      <c r="AD5" s="757"/>
    </row>
    <row r="6" spans="1:30" ht="68.25" customHeight="1" thickBot="1">
      <c r="A6" s="379" t="s">
        <v>21</v>
      </c>
      <c r="B6" s="379" t="s">
        <v>22</v>
      </c>
      <c r="C6" s="379" t="s">
        <v>770</v>
      </c>
      <c r="D6" s="379" t="s">
        <v>24</v>
      </c>
      <c r="E6" s="379" t="s">
        <v>25</v>
      </c>
      <c r="F6" s="379" t="s">
        <v>26</v>
      </c>
      <c r="G6" s="379" t="s">
        <v>27</v>
      </c>
      <c r="H6" s="379" t="s">
        <v>28</v>
      </c>
      <c r="I6" s="379" t="s">
        <v>29</v>
      </c>
      <c r="J6" s="379" t="s">
        <v>30</v>
      </c>
      <c r="K6" s="379" t="s">
        <v>31</v>
      </c>
      <c r="L6" s="379" t="s">
        <v>32</v>
      </c>
      <c r="M6" s="379" t="s">
        <v>33</v>
      </c>
      <c r="N6" s="379" t="s">
        <v>34</v>
      </c>
      <c r="O6" s="380" t="s">
        <v>35</v>
      </c>
      <c r="P6" s="380" t="s">
        <v>36</v>
      </c>
      <c r="Q6" s="380" t="s">
        <v>37</v>
      </c>
      <c r="R6" s="380" t="s">
        <v>38</v>
      </c>
      <c r="S6" s="380" t="s">
        <v>39</v>
      </c>
      <c r="T6" s="380" t="s">
        <v>40</v>
      </c>
      <c r="U6" s="380" t="s">
        <v>41</v>
      </c>
      <c r="V6" s="380" t="s">
        <v>42</v>
      </c>
      <c r="W6" s="380" t="s">
        <v>43</v>
      </c>
      <c r="X6" s="380" t="s">
        <v>44</v>
      </c>
      <c r="Y6" s="380" t="s">
        <v>45</v>
      </c>
      <c r="Z6" s="381" t="s">
        <v>46</v>
      </c>
      <c r="AA6" s="381" t="s">
        <v>771</v>
      </c>
      <c r="AB6" s="381" t="s">
        <v>48</v>
      </c>
      <c r="AC6" s="381" t="s">
        <v>49</v>
      </c>
      <c r="AD6" s="381" t="s">
        <v>50</v>
      </c>
    </row>
    <row r="7" spans="1:30" ht="228">
      <c r="A7" s="292" t="s">
        <v>52</v>
      </c>
      <c r="B7" s="292" t="s">
        <v>583</v>
      </c>
      <c r="C7" s="382" t="s">
        <v>1265</v>
      </c>
      <c r="D7" s="383" t="s">
        <v>1266</v>
      </c>
      <c r="E7" s="382" t="s">
        <v>1267</v>
      </c>
      <c r="F7" s="382" t="s">
        <v>1268</v>
      </c>
      <c r="G7" s="223" t="s">
        <v>1269</v>
      </c>
      <c r="H7" s="225">
        <v>3</v>
      </c>
      <c r="I7" s="382" t="s">
        <v>1270</v>
      </c>
      <c r="J7" s="384" t="s">
        <v>600</v>
      </c>
      <c r="K7" s="384" t="s">
        <v>778</v>
      </c>
      <c r="L7" s="384" t="s">
        <v>1271</v>
      </c>
      <c r="M7" s="385">
        <v>43831</v>
      </c>
      <c r="N7" s="385">
        <v>44166</v>
      </c>
      <c r="O7" s="386">
        <f>(N7-M7)/7</f>
        <v>47.857142857142854</v>
      </c>
      <c r="P7" s="387">
        <v>44742</v>
      </c>
      <c r="Q7" s="388">
        <v>44742</v>
      </c>
      <c r="R7" s="389">
        <f>(Q7-M7)/7-O7</f>
        <v>82.285714285714278</v>
      </c>
      <c r="S7" s="390" t="str">
        <f ca="1">IF((N7-TODAY())/7&gt;=0,"En tiempo","Alerta")</f>
        <v>Alerta</v>
      </c>
      <c r="T7" s="391">
        <v>3</v>
      </c>
      <c r="U7" s="190">
        <f>IF(T7/H7=1,1,+T7/H7)</f>
        <v>1</v>
      </c>
      <c r="V7" s="392">
        <f>IF(R7&gt;O7,0%,IF(R7&lt;=0,"100%",1-(R7/O7)))</f>
        <v>0</v>
      </c>
      <c r="W7" s="393" t="str">
        <f>IF(Q7&lt;=N7,"Cumple","Incumple")</f>
        <v>Incumple</v>
      </c>
      <c r="X7" s="394" t="s">
        <v>1272</v>
      </c>
      <c r="Y7" s="395" t="s">
        <v>1273</v>
      </c>
      <c r="Z7" s="392">
        <f>(U7+V7)/2</f>
        <v>0.5</v>
      </c>
      <c r="AA7" s="396">
        <v>0.5</v>
      </c>
      <c r="AB7" s="396">
        <v>0.6</v>
      </c>
      <c r="AC7" s="397">
        <f>AVERAGE(Z7:AB7)</f>
        <v>0.53333333333333333</v>
      </c>
      <c r="AD7" s="398" t="s">
        <v>1274</v>
      </c>
    </row>
    <row r="8" spans="1:30" ht="153.75" customHeight="1">
      <c r="A8" s="292" t="s">
        <v>52</v>
      </c>
      <c r="B8" s="292" t="s">
        <v>583</v>
      </c>
      <c r="C8" s="382" t="s">
        <v>1275</v>
      </c>
      <c r="D8" s="383" t="s">
        <v>1276</v>
      </c>
      <c r="E8" s="382" t="s">
        <v>1277</v>
      </c>
      <c r="F8" s="230" t="s">
        <v>1278</v>
      </c>
      <c r="G8" s="230" t="s">
        <v>1279</v>
      </c>
      <c r="H8" s="231">
        <v>1</v>
      </c>
      <c r="I8" s="230" t="s">
        <v>1280</v>
      </c>
      <c r="J8" s="384" t="s">
        <v>600</v>
      </c>
      <c r="K8" s="384" t="s">
        <v>778</v>
      </c>
      <c r="L8" s="384" t="s">
        <v>1281</v>
      </c>
      <c r="M8" s="385">
        <v>43831</v>
      </c>
      <c r="N8" s="385">
        <v>44166</v>
      </c>
      <c r="O8" s="386">
        <f t="shared" ref="O8:O16" si="0">(N8-M8)/7</f>
        <v>47.857142857142854</v>
      </c>
      <c r="P8" s="387">
        <v>44377</v>
      </c>
      <c r="Q8" s="399">
        <v>44377</v>
      </c>
      <c r="R8" s="389">
        <f t="shared" ref="R8:R16" si="1">(Q8-M8)/7-O8</f>
        <v>30.142857142857146</v>
      </c>
      <c r="S8" s="390" t="str">
        <f t="shared" ref="S8:S16" ca="1" si="2">IF((N8-TODAY())/7&gt;=0,"En tiempo","Alerta")</f>
        <v>Alerta</v>
      </c>
      <c r="T8" s="400">
        <v>1</v>
      </c>
      <c r="U8" s="190">
        <f t="shared" ref="U8:U9" si="3">IF(T8/H8=1,1,+T8/H8)</f>
        <v>1</v>
      </c>
      <c r="V8" s="392">
        <f t="shared" ref="V8:V9" si="4">IF(R8&gt;O8,0%,IF(R8&lt;=0,"100%",1-(R8/O8)))</f>
        <v>0.37014925373134322</v>
      </c>
      <c r="W8" s="393" t="str">
        <f t="shared" ref="W8:W9" si="5">IF(Q8&lt;=N8,"Cumple","Incumple")</f>
        <v>Incumple</v>
      </c>
      <c r="X8" s="394" t="s">
        <v>1282</v>
      </c>
      <c r="Y8" s="395" t="s">
        <v>1283</v>
      </c>
      <c r="Z8" s="392">
        <f t="shared" ref="Z8:Z9" si="6">(U8+V8)/2</f>
        <v>0.68507462686567155</v>
      </c>
      <c r="AA8" s="396">
        <v>1</v>
      </c>
      <c r="AB8" s="396">
        <v>0.8</v>
      </c>
      <c r="AC8" s="397">
        <f>AVERAGE(Z8:AB8)</f>
        <v>0.82835820895522383</v>
      </c>
      <c r="AD8" s="398" t="s">
        <v>1284</v>
      </c>
    </row>
    <row r="9" spans="1:30" ht="72.75" customHeight="1" thickBot="1">
      <c r="A9" s="292" t="s">
        <v>52</v>
      </c>
      <c r="B9" s="292" t="s">
        <v>583</v>
      </c>
      <c r="C9" s="382" t="s">
        <v>1285</v>
      </c>
      <c r="D9" s="758" t="s">
        <v>1286</v>
      </c>
      <c r="E9" s="759" t="s">
        <v>1287</v>
      </c>
      <c r="F9" s="758" t="s">
        <v>1288</v>
      </c>
      <c r="G9" s="758" t="s">
        <v>1289</v>
      </c>
      <c r="H9" s="760">
        <v>2</v>
      </c>
      <c r="I9" s="758" t="s">
        <v>1290</v>
      </c>
      <c r="J9" s="725" t="s">
        <v>600</v>
      </c>
      <c r="K9" s="725" t="s">
        <v>778</v>
      </c>
      <c r="L9" s="725" t="s">
        <v>1291</v>
      </c>
      <c r="M9" s="737">
        <v>43831</v>
      </c>
      <c r="N9" s="737">
        <v>44166</v>
      </c>
      <c r="O9" s="738">
        <f t="shared" si="0"/>
        <v>47.857142857142854</v>
      </c>
      <c r="P9" s="761">
        <v>44377</v>
      </c>
      <c r="Q9" s="740">
        <v>44742</v>
      </c>
      <c r="R9" s="734">
        <f t="shared" si="1"/>
        <v>82.285714285714278</v>
      </c>
      <c r="S9" s="735" t="str">
        <f t="shared" ca="1" si="2"/>
        <v>Alerta</v>
      </c>
      <c r="T9" s="769">
        <v>2</v>
      </c>
      <c r="U9" s="728">
        <f t="shared" si="3"/>
        <v>1</v>
      </c>
      <c r="V9" s="731">
        <f t="shared" si="4"/>
        <v>0</v>
      </c>
      <c r="W9" s="768" t="str">
        <f t="shared" si="5"/>
        <v>Incumple</v>
      </c>
      <c r="X9" s="767" t="s">
        <v>1292</v>
      </c>
      <c r="Y9" s="765" t="s">
        <v>1293</v>
      </c>
      <c r="Z9" s="731">
        <f t="shared" si="6"/>
        <v>0.5</v>
      </c>
      <c r="AA9" s="730">
        <v>0.9</v>
      </c>
      <c r="AB9" s="730">
        <v>0.8</v>
      </c>
      <c r="AC9" s="732">
        <f>AVERAGE(Z9:AB9)</f>
        <v>0.73333333333333339</v>
      </c>
      <c r="AD9" s="765" t="s">
        <v>1294</v>
      </c>
    </row>
    <row r="10" spans="1:30" ht="101.25" customHeight="1" thickBot="1">
      <c r="A10" s="292" t="s">
        <v>52</v>
      </c>
      <c r="B10" s="292" t="s">
        <v>583</v>
      </c>
      <c r="C10" s="382" t="s">
        <v>1295</v>
      </c>
      <c r="D10" s="758"/>
      <c r="E10" s="759"/>
      <c r="F10" s="758"/>
      <c r="G10" s="758"/>
      <c r="H10" s="760"/>
      <c r="I10" s="758"/>
      <c r="J10" s="725"/>
      <c r="K10" s="725"/>
      <c r="L10" s="725"/>
      <c r="M10" s="737"/>
      <c r="N10" s="737"/>
      <c r="O10" s="738"/>
      <c r="P10" s="761"/>
      <c r="Q10" s="740"/>
      <c r="R10" s="734"/>
      <c r="S10" s="735"/>
      <c r="T10" s="769"/>
      <c r="U10" s="728"/>
      <c r="V10" s="731"/>
      <c r="W10" s="768"/>
      <c r="X10" s="767"/>
      <c r="Y10" s="766"/>
      <c r="Z10" s="731"/>
      <c r="AA10" s="730"/>
      <c r="AB10" s="730"/>
      <c r="AC10" s="732"/>
      <c r="AD10" s="766"/>
    </row>
    <row r="11" spans="1:30" ht="60" customHeight="1" thickBot="1">
      <c r="A11" s="292" t="s">
        <v>52</v>
      </c>
      <c r="B11" s="292" t="s">
        <v>583</v>
      </c>
      <c r="C11" s="402" t="s">
        <v>1296</v>
      </c>
      <c r="D11" s="758"/>
      <c r="E11" s="759"/>
      <c r="F11" s="758"/>
      <c r="G11" s="758"/>
      <c r="H11" s="760"/>
      <c r="I11" s="758"/>
      <c r="J11" s="725"/>
      <c r="K11" s="725"/>
      <c r="L11" s="725"/>
      <c r="M11" s="737"/>
      <c r="N11" s="737"/>
      <c r="O11" s="738"/>
      <c r="P11" s="761"/>
      <c r="Q11" s="740"/>
      <c r="R11" s="734"/>
      <c r="S11" s="735"/>
      <c r="T11" s="769"/>
      <c r="U11" s="728"/>
      <c r="V11" s="731"/>
      <c r="W11" s="768"/>
      <c r="X11" s="767"/>
      <c r="Y11" s="766"/>
      <c r="Z11" s="731"/>
      <c r="AA11" s="730"/>
      <c r="AB11" s="730"/>
      <c r="AC11" s="732"/>
      <c r="AD11" s="766"/>
    </row>
    <row r="12" spans="1:30" ht="82.5" customHeight="1" thickBot="1">
      <c r="A12" s="292" t="s">
        <v>52</v>
      </c>
      <c r="B12" s="292" t="s">
        <v>583</v>
      </c>
      <c r="C12" s="402" t="s">
        <v>1297</v>
      </c>
      <c r="D12" s="758"/>
      <c r="E12" s="759"/>
      <c r="F12" s="758"/>
      <c r="G12" s="758"/>
      <c r="H12" s="760"/>
      <c r="I12" s="758"/>
      <c r="J12" s="725"/>
      <c r="K12" s="725"/>
      <c r="L12" s="725"/>
      <c r="M12" s="737"/>
      <c r="N12" s="737"/>
      <c r="O12" s="738"/>
      <c r="P12" s="761"/>
      <c r="Q12" s="740"/>
      <c r="R12" s="734"/>
      <c r="S12" s="735"/>
      <c r="T12" s="769"/>
      <c r="U12" s="728"/>
      <c r="V12" s="731"/>
      <c r="W12" s="768"/>
      <c r="X12" s="767"/>
      <c r="Y12" s="766"/>
      <c r="Z12" s="731"/>
      <c r="AA12" s="730"/>
      <c r="AB12" s="730"/>
      <c r="AC12" s="732"/>
      <c r="AD12" s="766"/>
    </row>
    <row r="13" spans="1:30" ht="276.75" customHeight="1" thickBot="1">
      <c r="A13" s="292" t="s">
        <v>52</v>
      </c>
      <c r="B13" s="292" t="s">
        <v>583</v>
      </c>
      <c r="C13" s="402" t="s">
        <v>1298</v>
      </c>
      <c r="D13" s="383" t="s">
        <v>1299</v>
      </c>
      <c r="E13" s="382" t="s">
        <v>1300</v>
      </c>
      <c r="F13" s="382" t="s">
        <v>1301</v>
      </c>
      <c r="G13" s="230" t="s">
        <v>1302</v>
      </c>
      <c r="H13" s="225">
        <v>1</v>
      </c>
      <c r="I13" s="382" t="s">
        <v>1303</v>
      </c>
      <c r="J13" s="384" t="s">
        <v>600</v>
      </c>
      <c r="K13" s="384" t="s">
        <v>778</v>
      </c>
      <c r="L13" s="384" t="s">
        <v>1304</v>
      </c>
      <c r="M13" s="385">
        <v>44075</v>
      </c>
      <c r="N13" s="385">
        <v>44196</v>
      </c>
      <c r="O13" s="386">
        <f>(N13-M13)/7</f>
        <v>17.285714285714285</v>
      </c>
      <c r="P13" s="387">
        <v>44377</v>
      </c>
      <c r="Q13" s="387">
        <v>44377</v>
      </c>
      <c r="R13" s="389">
        <f>(Q13-M13)/7-O13</f>
        <v>25.857142857142861</v>
      </c>
      <c r="S13" s="390" t="str">
        <f ca="1">IF((N13-TODAY())/7&gt;=0,"En tiempo","Alerta")</f>
        <v>Alerta</v>
      </c>
      <c r="T13" s="401">
        <v>1</v>
      </c>
      <c r="U13" s="190">
        <f>IF(T13/H13=1,1,+T13/H13)</f>
        <v>1</v>
      </c>
      <c r="V13" s="392">
        <f>IF(R13&gt;O13,0%,IF(R13&lt;=0,"100%",1-(R13/O13)))</f>
        <v>0</v>
      </c>
      <c r="W13" s="393" t="str">
        <f>IF(Q13&lt;=N13,"Cumple","Incumple")</f>
        <v>Incumple</v>
      </c>
      <c r="X13" s="394" t="s">
        <v>1305</v>
      </c>
      <c r="Y13" s="403" t="s">
        <v>1306</v>
      </c>
      <c r="Z13" s="392">
        <f>(U13+V13)/2</f>
        <v>0.5</v>
      </c>
      <c r="AA13" s="396">
        <v>0.5</v>
      </c>
      <c r="AB13" s="396"/>
      <c r="AC13" s="397">
        <f>AVERAGE(Z13:AB13)</f>
        <v>0.5</v>
      </c>
      <c r="AD13" s="398" t="s">
        <v>1307</v>
      </c>
    </row>
    <row r="14" spans="1:30" ht="128.25">
      <c r="A14" s="292" t="s">
        <v>52</v>
      </c>
      <c r="B14" s="292" t="s">
        <v>583</v>
      </c>
      <c r="C14" s="382" t="s">
        <v>1308</v>
      </c>
      <c r="D14" s="383" t="s">
        <v>1309</v>
      </c>
      <c r="E14" s="382" t="s">
        <v>1310</v>
      </c>
      <c r="F14" s="382" t="s">
        <v>1311</v>
      </c>
      <c r="G14" s="230" t="s">
        <v>1312</v>
      </c>
      <c r="H14" s="225">
        <v>1</v>
      </c>
      <c r="I14" s="382" t="s">
        <v>1313</v>
      </c>
      <c r="J14" s="384" t="s">
        <v>1314</v>
      </c>
      <c r="K14" s="384" t="s">
        <v>778</v>
      </c>
      <c r="L14" s="384" t="s">
        <v>1315</v>
      </c>
      <c r="M14" s="385">
        <v>43768</v>
      </c>
      <c r="N14" s="385">
        <v>43861</v>
      </c>
      <c r="O14" s="386">
        <f t="shared" si="0"/>
        <v>13.285714285714286</v>
      </c>
      <c r="P14" s="387">
        <v>44377</v>
      </c>
      <c r="Q14" s="387">
        <v>44377</v>
      </c>
      <c r="R14" s="389">
        <f t="shared" si="1"/>
        <v>73.714285714285708</v>
      </c>
      <c r="S14" s="390" t="str">
        <f t="shared" ca="1" si="2"/>
        <v>Alerta</v>
      </c>
      <c r="T14" s="401">
        <v>1</v>
      </c>
      <c r="U14" s="190">
        <f t="shared" ref="U14:U16" si="7">IF(T14/H14=1,1,+T14/H14)</f>
        <v>1</v>
      </c>
      <c r="V14" s="392">
        <f t="shared" ref="V14:V15" si="8">IF(R14&gt;O14,0%,IF(R14&lt;=0,"100%",1-(R14/O14)))</f>
        <v>0</v>
      </c>
      <c r="W14" s="393" t="str">
        <f t="shared" ref="W14:W15" si="9">IF(Q14&lt;=N14,"Cumple","Incumple")</f>
        <v>Incumple</v>
      </c>
      <c r="X14" s="394" t="s">
        <v>1316</v>
      </c>
      <c r="Y14" s="395" t="s">
        <v>1317</v>
      </c>
      <c r="Z14" s="392">
        <f t="shared" ref="Z14:Z16" si="10">(U14+V14)/2</f>
        <v>0.5</v>
      </c>
      <c r="AA14" s="396">
        <v>1</v>
      </c>
      <c r="AB14" s="396">
        <v>0.7</v>
      </c>
      <c r="AC14" s="397">
        <f>AVERAGE(Z14:AB14)</f>
        <v>0.73333333333333339</v>
      </c>
      <c r="AD14" s="398" t="s">
        <v>1318</v>
      </c>
    </row>
    <row r="15" spans="1:30" ht="402.75" customHeight="1">
      <c r="A15" s="292" t="s">
        <v>52</v>
      </c>
      <c r="B15" s="292" t="s">
        <v>583</v>
      </c>
      <c r="C15" s="382" t="s">
        <v>1319</v>
      </c>
      <c r="D15" s="383" t="s">
        <v>1320</v>
      </c>
      <c r="E15" s="382" t="s">
        <v>1321</v>
      </c>
      <c r="F15" s="382" t="s">
        <v>1322</v>
      </c>
      <c r="G15" s="230" t="s">
        <v>1323</v>
      </c>
      <c r="H15" s="225">
        <v>1</v>
      </c>
      <c r="I15" s="230" t="s">
        <v>1324</v>
      </c>
      <c r="J15" s="384" t="s">
        <v>600</v>
      </c>
      <c r="K15" s="384" t="s">
        <v>778</v>
      </c>
      <c r="L15" s="384" t="s">
        <v>1325</v>
      </c>
      <c r="M15" s="385">
        <v>43831</v>
      </c>
      <c r="N15" s="385">
        <v>44166</v>
      </c>
      <c r="O15" s="386">
        <f t="shared" si="0"/>
        <v>47.857142857142854</v>
      </c>
      <c r="P15" s="387">
        <v>44901</v>
      </c>
      <c r="Q15" s="404">
        <v>44742</v>
      </c>
      <c r="R15" s="389">
        <f t="shared" si="1"/>
        <v>82.285714285714278</v>
      </c>
      <c r="S15" s="390" t="str">
        <f t="shared" ca="1" si="2"/>
        <v>Alerta</v>
      </c>
      <c r="T15" s="401">
        <v>0.9</v>
      </c>
      <c r="U15" s="190">
        <f t="shared" si="7"/>
        <v>0.9</v>
      </c>
      <c r="V15" s="392">
        <f t="shared" si="8"/>
        <v>0</v>
      </c>
      <c r="W15" s="393" t="str">
        <f t="shared" si="9"/>
        <v>Incumple</v>
      </c>
      <c r="X15" s="394" t="s">
        <v>1326</v>
      </c>
      <c r="Y15" s="395" t="s">
        <v>1327</v>
      </c>
      <c r="Z15" s="392">
        <f t="shared" si="10"/>
        <v>0.45</v>
      </c>
      <c r="AA15" s="396">
        <v>0.8</v>
      </c>
      <c r="AB15" s="396">
        <v>0.5</v>
      </c>
      <c r="AC15" s="397">
        <f>AVERAGE(Z15:AB15)</f>
        <v>0.58333333333333337</v>
      </c>
      <c r="AD15" s="398" t="s">
        <v>1328</v>
      </c>
    </row>
    <row r="16" spans="1:30" ht="96.75" customHeight="1" thickBot="1">
      <c r="A16" s="292" t="s">
        <v>52</v>
      </c>
      <c r="B16" s="292" t="s">
        <v>583</v>
      </c>
      <c r="C16" s="402" t="s">
        <v>1329</v>
      </c>
      <c r="D16" s="383" t="s">
        <v>1330</v>
      </c>
      <c r="E16" s="382" t="s">
        <v>1331</v>
      </c>
      <c r="F16" s="382" t="s">
        <v>1332</v>
      </c>
      <c r="G16" s="223" t="s">
        <v>1333</v>
      </c>
      <c r="H16" s="225">
        <v>1</v>
      </c>
      <c r="I16" s="223" t="s">
        <v>1334</v>
      </c>
      <c r="J16" s="384" t="s">
        <v>600</v>
      </c>
      <c r="K16" s="384" t="s">
        <v>778</v>
      </c>
      <c r="L16" s="384" t="s">
        <v>1335</v>
      </c>
      <c r="M16" s="385">
        <v>43891</v>
      </c>
      <c r="N16" s="385">
        <v>44166</v>
      </c>
      <c r="O16" s="386">
        <f t="shared" si="0"/>
        <v>39.285714285714285</v>
      </c>
      <c r="P16" s="387">
        <v>44195</v>
      </c>
      <c r="Q16" s="387">
        <v>44742</v>
      </c>
      <c r="R16" s="389">
        <f t="shared" si="1"/>
        <v>82.285714285714278</v>
      </c>
      <c r="S16" s="390" t="str">
        <f t="shared" ca="1" si="2"/>
        <v>Alerta</v>
      </c>
      <c r="T16" s="401"/>
      <c r="U16" s="190">
        <f t="shared" si="7"/>
        <v>0</v>
      </c>
      <c r="V16" s="392">
        <f>IF(R16&gt;O16,0%,IF(R16&lt;=0,"100%",1-(R16/O16)))</f>
        <v>0</v>
      </c>
      <c r="W16" s="393" t="str">
        <f>IF(Q16&lt;=N16,"Cumple","Incumple")</f>
        <v>Incumple</v>
      </c>
      <c r="X16" s="394"/>
      <c r="Y16" s="395" t="s">
        <v>1336</v>
      </c>
      <c r="Z16" s="392">
        <f t="shared" si="10"/>
        <v>0</v>
      </c>
      <c r="AA16" s="396"/>
      <c r="AB16" s="396"/>
      <c r="AC16" s="397"/>
      <c r="AD16" s="398"/>
    </row>
    <row r="17" spans="7:29" ht="15">
      <c r="G17" s="83" t="s">
        <v>153</v>
      </c>
      <c r="H17" s="84">
        <f>SUM(H7:H16)</f>
        <v>10</v>
      </c>
      <c r="Q17" s="762" t="s">
        <v>154</v>
      </c>
      <c r="R17" s="763"/>
      <c r="S17" s="764"/>
      <c r="T17" s="408">
        <f>SUM(T7:T15)</f>
        <v>8.9</v>
      </c>
      <c r="U17" s="161">
        <f>AVERAGE(U7:U15)</f>
        <v>0.98333333333333339</v>
      </c>
      <c r="V17" s="407"/>
      <c r="W17" s="406">
        <f>(COUNTIF(W7:W15,"Cumple")*100%)/COUNTA(W7:W15)</f>
        <v>0</v>
      </c>
      <c r="Z17" s="733" t="s">
        <v>154</v>
      </c>
      <c r="AA17" s="733"/>
      <c r="AB17" s="733"/>
      <c r="AC17" s="405">
        <f>AVERAGE(AC7:AC15)</f>
        <v>0.65194859038142627</v>
      </c>
    </row>
  </sheetData>
  <dataConsolidate/>
  <mergeCells count="56">
    <mergeCell ref="Q17:S17"/>
    <mergeCell ref="V9:V12"/>
    <mergeCell ref="AD9:AD12"/>
    <mergeCell ref="X9:X12"/>
    <mergeCell ref="Y9:Y12"/>
    <mergeCell ref="Z9:Z12"/>
    <mergeCell ref="AA9:AA12"/>
    <mergeCell ref="AB9:AB12"/>
    <mergeCell ref="AC9:AC12"/>
    <mergeCell ref="W9:W12"/>
    <mergeCell ref="Z17:AB17"/>
    <mergeCell ref="R9:R12"/>
    <mergeCell ref="S9:S12"/>
    <mergeCell ref="T9:T12"/>
    <mergeCell ref="U9:U12"/>
    <mergeCell ref="Q9:Q12"/>
    <mergeCell ref="T4:U4"/>
    <mergeCell ref="V4:Y4"/>
    <mergeCell ref="D9:D12"/>
    <mergeCell ref="E9:E12"/>
    <mergeCell ref="F9:F12"/>
    <mergeCell ref="G9:G12"/>
    <mergeCell ref="H9:H12"/>
    <mergeCell ref="I9:I12"/>
    <mergeCell ref="J9:J12"/>
    <mergeCell ref="K9:K12"/>
    <mergeCell ref="Q4:S4"/>
    <mergeCell ref="L9:L12"/>
    <mergeCell ref="M9:M12"/>
    <mergeCell ref="N9:N12"/>
    <mergeCell ref="O9:O12"/>
    <mergeCell ref="P9:P12"/>
    <mergeCell ref="G3:H3"/>
    <mergeCell ref="I3:N3"/>
    <mergeCell ref="O3:P3"/>
    <mergeCell ref="A4:B4"/>
    <mergeCell ref="C4:F4"/>
    <mergeCell ref="G4:H4"/>
    <mergeCell ref="I4:N4"/>
    <mergeCell ref="O4:P4"/>
    <mergeCell ref="O1:P2"/>
    <mergeCell ref="Q1:Y2"/>
    <mergeCell ref="W3:X3"/>
    <mergeCell ref="Z1:AD4"/>
    <mergeCell ref="A5:N5"/>
    <mergeCell ref="O5:Y5"/>
    <mergeCell ref="Z5:AD5"/>
    <mergeCell ref="A2:B2"/>
    <mergeCell ref="C2:F2"/>
    <mergeCell ref="G2:H2"/>
    <mergeCell ref="I2:N2"/>
    <mergeCell ref="Q3:V3"/>
    <mergeCell ref="A1:B1"/>
    <mergeCell ref="C1:N1"/>
    <mergeCell ref="A3:B3"/>
    <mergeCell ref="C3:F3"/>
  </mergeCells>
  <conditionalFormatting sqref="R7:R9 R13:R16">
    <cfRule type="cellIs" dxfId="228" priority="35" operator="greaterThan">
      <formula>0</formula>
    </cfRule>
    <cfRule type="cellIs" dxfId="227" priority="36" operator="lessThan">
      <formula>0</formula>
    </cfRule>
  </conditionalFormatting>
  <conditionalFormatting sqref="S7:S9 S13:S16">
    <cfRule type="containsText" dxfId="226" priority="33" operator="containsText" text="Alerta">
      <formula>NOT(ISERROR(SEARCH("Alerta",S7)))</formula>
    </cfRule>
    <cfRule type="containsText" dxfId="225" priority="34" operator="containsText" text="En tiempo">
      <formula>NOT(ISERROR(SEARCH("En tiempo",S7)))</formula>
    </cfRule>
  </conditionalFormatting>
  <conditionalFormatting sqref="U7:U9 U13:U17">
    <cfRule type="cellIs" dxfId="224" priority="1" stopIfTrue="1" operator="between">
      <formula>0.8</formula>
      <formula>1</formula>
    </cfRule>
    <cfRule type="cellIs" dxfId="223" priority="2" stopIfTrue="1" operator="between">
      <formula>0.5</formula>
      <formula>0.79</formula>
    </cfRule>
    <cfRule type="cellIs" dxfId="222" priority="3" stopIfTrue="1" operator="between">
      <formula>0.3</formula>
      <formula>0.49</formula>
    </cfRule>
    <cfRule type="cellIs" dxfId="221" priority="4" stopIfTrue="1" operator="between">
      <formula>0</formula>
      <formula>0.29</formula>
    </cfRule>
  </conditionalFormatting>
  <conditionalFormatting sqref="V7:V9 V13:V16">
    <cfRule type="cellIs" dxfId="220" priority="27" operator="between">
      <formula>0.19</formula>
      <formula>0</formula>
    </cfRule>
    <cfRule type="cellIs" dxfId="219" priority="28" operator="between">
      <formula>0.49</formula>
      <formula>0.2</formula>
    </cfRule>
    <cfRule type="cellIs" dxfId="218" priority="29" operator="between">
      <formula>0.89</formula>
      <formula>0.5</formula>
    </cfRule>
    <cfRule type="cellIs" dxfId="217" priority="30" operator="between">
      <formula>1</formula>
      <formula>0.9</formula>
    </cfRule>
  </conditionalFormatting>
  <conditionalFormatting sqref="W7:W9 W13:W16">
    <cfRule type="containsText" dxfId="216" priority="31" operator="containsText" text="Incumple">
      <formula>NOT(ISERROR(SEARCH("Incumple",W7)))</formula>
    </cfRule>
    <cfRule type="containsText" dxfId="215" priority="32" operator="containsText" text="Cumple">
      <formula>NOT(ISERROR(SEARCH("Cumple",W7)))</formula>
    </cfRule>
  </conditionalFormatting>
  <conditionalFormatting sqref="W17">
    <cfRule type="cellIs" dxfId="214" priority="19" operator="between">
      <formula>0.19</formula>
      <formula>0</formula>
    </cfRule>
    <cfRule type="cellIs" dxfId="213" priority="20" operator="between">
      <formula>0.49</formula>
      <formula>0.2</formula>
    </cfRule>
    <cfRule type="cellIs" dxfId="212" priority="21" operator="between">
      <formula>0.89</formula>
      <formula>0.5</formula>
    </cfRule>
    <cfRule type="cellIs" dxfId="211" priority="22" operator="between">
      <formula>1</formula>
      <formula>0.9</formula>
    </cfRule>
  </conditionalFormatting>
  <conditionalFormatting sqref="Z7:Z9 Z13:Z16">
    <cfRule type="cellIs" dxfId="210" priority="15" operator="between">
      <formula>0.19</formula>
      <formula>0</formula>
    </cfRule>
    <cfRule type="cellIs" dxfId="209" priority="16" operator="between">
      <formula>0.49</formula>
      <formula>0.2</formula>
    </cfRule>
    <cfRule type="cellIs" dxfId="208" priority="17" operator="between">
      <formula>0.89</formula>
      <formula>0.5</formula>
    </cfRule>
    <cfRule type="cellIs" dxfId="207" priority="18" operator="between">
      <formula>1</formula>
      <formula>0.9</formula>
    </cfRule>
  </conditionalFormatting>
  <conditionalFormatting sqref="AC7:AC9 AC13:AC17">
    <cfRule type="cellIs" dxfId="206" priority="9" operator="between">
      <formula>0.3</formula>
      <formula>0</formula>
    </cfRule>
    <cfRule type="cellIs" dxfId="205" priority="10" operator="between">
      <formula>0.6999</formula>
      <formula>0.3111</formula>
    </cfRule>
    <cfRule type="cellIs" dxfId="204" priority="11" operator="between">
      <formula>1</formula>
      <formula>0.7</formula>
    </cfRule>
  </conditionalFormatting>
  <dataValidations count="5">
    <dataValidation type="list" allowBlank="1" showInputMessage="1" showErrorMessage="1" sqref="B7:B16" xr:uid="{00000000-0002-0000-1200-000000000000}">
      <formula1>$AV$5:$AV$8</formula1>
    </dataValidation>
    <dataValidation type="list" allowBlank="1" showInputMessage="1" showErrorMessage="1" errorTitle="Estado" error="No es un estado de los Planes de Mejoramiento" sqref="Q4:S4" xr:uid="{00000000-0002-0000-1200-000001000000}">
      <formula1>$AW$4:$AW$7</formula1>
    </dataValidation>
    <dataValidation type="list" allowBlank="1" showInputMessage="1" showErrorMessage="1" sqref="A7:A16" xr:uid="{00000000-0002-0000-1200-000002000000}">
      <formula1>$AP$4:$AP$10</formula1>
    </dataValidation>
    <dataValidation type="list" allowBlank="1" showInputMessage="1" showErrorMessage="1" sqref="J7:J9 J13:J16" xr:uid="{00000000-0002-0000-1200-000004000000}">
      <formula1>$AR$4:$AR$10</formula1>
    </dataValidation>
    <dataValidation type="list" allowBlank="1" showInputMessage="1" showErrorMessage="1" sqref="K7:K9 K13:K16" xr:uid="{00000000-0002-0000-1200-000005000000}">
      <formula1>$AS$4:$AS$10</formula1>
    </dataValidation>
  </dataValidations>
  <pageMargins left="1.4960629921259843" right="0.70866141732283472" top="0.74803149606299213" bottom="0.74803149606299213" header="0.31496062992125984" footer="0.31496062992125984"/>
  <pageSetup scale="34" fitToWidth="0" orientation="landscape" r:id="rId1"/>
  <colBreaks count="2" manualBreakCount="2">
    <brk id="14" max="1048575" man="1"/>
    <brk id="25" max="1048575" man="1"/>
  </col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22A3F-F700-47BC-93EA-071391DAE722}">
  <sheetPr>
    <tabColor theme="0"/>
  </sheetPr>
  <dimension ref="A1:AD21"/>
  <sheetViews>
    <sheetView zoomScale="25" zoomScaleNormal="25" workbookViewId="0">
      <selection activeCell="A16" sqref="A16"/>
    </sheetView>
  </sheetViews>
  <sheetFormatPr defaultColWidth="9.140625" defaultRowHeight="12.75"/>
  <cols>
    <col min="1" max="1" width="12.28515625" style="53" customWidth="1"/>
    <col min="2" max="2" width="12.7109375" style="53" customWidth="1"/>
    <col min="3" max="3" width="46.28515625" style="53" customWidth="1"/>
    <col min="4" max="4" width="35.42578125" style="53" customWidth="1"/>
    <col min="5" max="5" width="33.140625" style="53" customWidth="1"/>
    <col min="6" max="6" width="40.42578125" style="53" customWidth="1"/>
    <col min="7" max="7" width="25.85546875" style="53" customWidth="1"/>
    <col min="8" max="8" width="13" style="53" customWidth="1"/>
    <col min="9" max="9" width="35.5703125" style="53" customWidth="1"/>
    <col min="10" max="10" width="16.140625" style="53" customWidth="1"/>
    <col min="11" max="11" width="21.5703125" style="53" customWidth="1"/>
    <col min="12" max="12" width="20.42578125" style="53" customWidth="1"/>
    <col min="13" max="13" width="17.85546875" style="53" customWidth="1"/>
    <col min="14" max="14" width="17.7109375" style="53" customWidth="1"/>
    <col min="15" max="15" width="16.28515625" style="53" customWidth="1"/>
    <col min="16" max="16" width="17.28515625" style="53" customWidth="1"/>
    <col min="17" max="17" width="13.140625" style="53" customWidth="1"/>
    <col min="18" max="18" width="11.42578125" style="53" customWidth="1"/>
    <col min="19" max="19" width="11.140625" style="53" customWidth="1"/>
    <col min="20" max="20" width="15" style="53" customWidth="1"/>
    <col min="21" max="21" width="16.5703125" style="53" customWidth="1"/>
    <col min="22" max="22" width="14.42578125" style="53" customWidth="1"/>
    <col min="23" max="23" width="16.7109375" style="53" customWidth="1"/>
    <col min="24" max="24" width="67.5703125" style="53" customWidth="1"/>
    <col min="25" max="25" width="67" style="53" customWidth="1"/>
    <col min="26" max="26" width="12.42578125" style="53" customWidth="1"/>
    <col min="27" max="27" width="13.42578125" style="53" customWidth="1"/>
    <col min="28" max="28" width="14.140625" style="53" customWidth="1"/>
    <col min="29" max="29" width="12.5703125" style="53" customWidth="1"/>
    <col min="30" max="30" width="94.28515625" style="53" customWidth="1"/>
    <col min="31" max="41" width="9.140625" bestFit="1" customWidth="1"/>
    <col min="42" max="49" width="0" hidden="1" customWidth="1"/>
    <col min="50" max="50" width="22.42578125" customWidth="1"/>
  </cols>
  <sheetData>
    <row r="1" spans="1:30" ht="98.25" customHeight="1" thickBot="1">
      <c r="A1" s="772" t="s">
        <v>0</v>
      </c>
      <c r="B1" s="772"/>
      <c r="C1" s="772" t="s">
        <v>155</v>
      </c>
      <c r="D1" s="772"/>
      <c r="E1" s="772"/>
      <c r="F1" s="772"/>
      <c r="G1" s="772"/>
      <c r="H1" s="772"/>
      <c r="I1" s="772"/>
      <c r="J1" s="772"/>
      <c r="K1" s="772"/>
      <c r="L1" s="772"/>
      <c r="M1" s="772"/>
      <c r="N1" s="772"/>
      <c r="O1" s="772"/>
      <c r="P1" s="772"/>
      <c r="Q1" s="772" t="s">
        <v>1</v>
      </c>
      <c r="R1" s="772"/>
      <c r="S1" s="772"/>
      <c r="T1" s="772"/>
      <c r="U1" s="772"/>
      <c r="V1" s="772"/>
      <c r="W1" s="772"/>
      <c r="X1" s="772"/>
      <c r="Y1" s="772"/>
      <c r="Z1" s="772" t="s">
        <v>1</v>
      </c>
      <c r="AA1" s="772"/>
      <c r="AB1" s="772"/>
      <c r="AC1" s="772"/>
      <c r="AD1" s="772"/>
    </row>
    <row r="2" spans="1:30" ht="36.75" customHeight="1" thickBot="1">
      <c r="A2" s="772" t="s">
        <v>2</v>
      </c>
      <c r="B2" s="772"/>
      <c r="C2" s="772" t="s">
        <v>3</v>
      </c>
      <c r="D2" s="773"/>
      <c r="E2" s="773"/>
      <c r="F2" s="773"/>
      <c r="G2" s="772" t="s">
        <v>4</v>
      </c>
      <c r="H2" s="772"/>
      <c r="I2" s="772" t="s">
        <v>5</v>
      </c>
      <c r="J2" s="772"/>
      <c r="K2" s="772"/>
      <c r="L2" s="772"/>
      <c r="M2" s="772"/>
      <c r="N2" s="772"/>
      <c r="O2" s="772"/>
      <c r="P2" s="772"/>
      <c r="Q2" s="772"/>
      <c r="R2" s="772"/>
      <c r="S2" s="772"/>
      <c r="T2" s="772"/>
      <c r="U2" s="772"/>
      <c r="V2" s="772"/>
      <c r="W2" s="772"/>
      <c r="X2" s="772"/>
      <c r="Y2" s="772"/>
      <c r="Z2" s="772"/>
      <c r="AA2" s="772"/>
      <c r="AB2" s="772"/>
      <c r="AC2" s="772"/>
      <c r="AD2" s="772"/>
    </row>
    <row r="3" spans="1:30" ht="36.75" customHeight="1" thickBot="1">
      <c r="A3" s="771" t="s">
        <v>6</v>
      </c>
      <c r="B3" s="771"/>
      <c r="C3" s="772" t="s">
        <v>1337</v>
      </c>
      <c r="D3" s="772"/>
      <c r="E3" s="772"/>
      <c r="F3" s="772"/>
      <c r="G3" s="771" t="s">
        <v>8</v>
      </c>
      <c r="H3" s="771"/>
      <c r="I3" s="776" t="s">
        <v>1338</v>
      </c>
      <c r="J3" s="772"/>
      <c r="K3" s="772"/>
      <c r="L3" s="772"/>
      <c r="M3" s="772"/>
      <c r="N3" s="772"/>
      <c r="O3" s="771" t="s">
        <v>9</v>
      </c>
      <c r="P3" s="771"/>
      <c r="Q3" s="776"/>
      <c r="R3" s="776"/>
      <c r="S3" s="776"/>
      <c r="T3" s="776"/>
      <c r="U3" s="776"/>
      <c r="V3" s="776"/>
      <c r="W3" s="771" t="s">
        <v>10</v>
      </c>
      <c r="X3" s="771"/>
      <c r="Y3" s="308" t="s">
        <v>1339</v>
      </c>
      <c r="Z3" s="772"/>
      <c r="AA3" s="772"/>
      <c r="AB3" s="772"/>
      <c r="AC3" s="772"/>
      <c r="AD3" s="772"/>
    </row>
    <row r="4" spans="1:30" ht="40.5" customHeight="1" thickBot="1">
      <c r="A4" s="771" t="s">
        <v>12</v>
      </c>
      <c r="B4" s="771"/>
      <c r="C4" s="772" t="s">
        <v>1340</v>
      </c>
      <c r="D4" s="772"/>
      <c r="E4" s="772"/>
      <c r="F4" s="772"/>
      <c r="G4" s="771" t="s">
        <v>14</v>
      </c>
      <c r="H4" s="771"/>
      <c r="I4" s="776" t="s">
        <v>1341</v>
      </c>
      <c r="J4" s="776"/>
      <c r="K4" s="776"/>
      <c r="L4" s="776"/>
      <c r="M4" s="776"/>
      <c r="N4" s="776"/>
      <c r="O4" s="771" t="s">
        <v>15</v>
      </c>
      <c r="P4" s="771"/>
      <c r="Q4" s="772" t="s">
        <v>1342</v>
      </c>
      <c r="R4" s="772"/>
      <c r="S4" s="772"/>
      <c r="T4" s="774" t="s">
        <v>17</v>
      </c>
      <c r="U4" s="774"/>
      <c r="V4" s="772" t="s">
        <v>1343</v>
      </c>
      <c r="W4" s="772"/>
      <c r="X4" s="772"/>
      <c r="Y4" s="772"/>
      <c r="Z4" s="772"/>
      <c r="AA4" s="772"/>
      <c r="AB4" s="772"/>
      <c r="AC4" s="772"/>
      <c r="AD4" s="772"/>
    </row>
    <row r="5" spans="1:30" ht="23.25" customHeight="1" thickBot="1">
      <c r="A5" s="777" t="s">
        <v>18</v>
      </c>
      <c r="B5" s="777"/>
      <c r="C5" s="777"/>
      <c r="D5" s="777"/>
      <c r="E5" s="777"/>
      <c r="F5" s="777"/>
      <c r="G5" s="777"/>
      <c r="H5" s="777"/>
      <c r="I5" s="777"/>
      <c r="J5" s="777"/>
      <c r="K5" s="777"/>
      <c r="L5" s="777"/>
      <c r="M5" s="777"/>
      <c r="N5" s="777"/>
      <c r="O5" s="778" t="s">
        <v>19</v>
      </c>
      <c r="P5" s="778"/>
      <c r="Q5" s="778"/>
      <c r="R5" s="778"/>
      <c r="S5" s="778"/>
      <c r="T5" s="778"/>
      <c r="U5" s="778"/>
      <c r="V5" s="778"/>
      <c r="W5" s="778"/>
      <c r="X5" s="778"/>
      <c r="Y5" s="778"/>
      <c r="Z5" s="770" t="s">
        <v>20</v>
      </c>
      <c r="AA5" s="770"/>
      <c r="AB5" s="770"/>
      <c r="AC5" s="770"/>
      <c r="AD5" s="770"/>
    </row>
    <row r="6" spans="1:30" ht="75">
      <c r="A6" s="250" t="s">
        <v>21</v>
      </c>
      <c r="B6" s="250" t="s">
        <v>22</v>
      </c>
      <c r="C6" s="250" t="s">
        <v>770</v>
      </c>
      <c r="D6" s="250" t="s">
        <v>24</v>
      </c>
      <c r="E6" s="250" t="s">
        <v>25</v>
      </c>
      <c r="F6" s="250" t="s">
        <v>26</v>
      </c>
      <c r="G6" s="250" t="s">
        <v>27</v>
      </c>
      <c r="H6" s="250" t="s">
        <v>28</v>
      </c>
      <c r="I6" s="250" t="s">
        <v>29</v>
      </c>
      <c r="J6" s="250" t="s">
        <v>30</v>
      </c>
      <c r="K6" s="250" t="s">
        <v>31</v>
      </c>
      <c r="L6" s="250" t="s">
        <v>32</v>
      </c>
      <c r="M6" s="250" t="s">
        <v>33</v>
      </c>
      <c r="N6" s="250" t="s">
        <v>34</v>
      </c>
      <c r="O6" s="251" t="s">
        <v>35</v>
      </c>
      <c r="P6" s="251" t="s">
        <v>36</v>
      </c>
      <c r="Q6" s="251" t="s">
        <v>37</v>
      </c>
      <c r="R6" s="251" t="s">
        <v>38</v>
      </c>
      <c r="S6" s="251" t="s">
        <v>39</v>
      </c>
      <c r="T6" s="251" t="s">
        <v>40</v>
      </c>
      <c r="U6" s="251" t="s">
        <v>41</v>
      </c>
      <c r="V6" s="251" t="s">
        <v>42</v>
      </c>
      <c r="W6" s="251" t="s">
        <v>43</v>
      </c>
      <c r="X6" s="251" t="s">
        <v>44</v>
      </c>
      <c r="Y6" s="251" t="s">
        <v>45</v>
      </c>
      <c r="Z6" s="254" t="s">
        <v>46</v>
      </c>
      <c r="AA6" s="254" t="s">
        <v>771</v>
      </c>
      <c r="AB6" s="254" t="s">
        <v>48</v>
      </c>
      <c r="AC6" s="254" t="s">
        <v>49</v>
      </c>
      <c r="AD6" s="254" t="s">
        <v>50</v>
      </c>
    </row>
    <row r="7" spans="1:30" ht="144">
      <c r="A7" s="292" t="s">
        <v>341</v>
      </c>
      <c r="B7" s="292" t="s">
        <v>583</v>
      </c>
      <c r="C7" s="316" t="s">
        <v>1344</v>
      </c>
      <c r="D7" s="367" t="s">
        <v>1345</v>
      </c>
      <c r="E7" s="316" t="s">
        <v>1346</v>
      </c>
      <c r="F7" s="356" t="s">
        <v>1347</v>
      </c>
      <c r="G7" s="316" t="s">
        <v>1348</v>
      </c>
      <c r="H7" s="355">
        <v>2</v>
      </c>
      <c r="I7" s="356" t="s">
        <v>1349</v>
      </c>
      <c r="J7" s="356" t="s">
        <v>1350</v>
      </c>
      <c r="K7" s="356" t="s">
        <v>611</v>
      </c>
      <c r="L7" s="356" t="s">
        <v>1351</v>
      </c>
      <c r="M7" s="311">
        <v>44753</v>
      </c>
      <c r="N7" s="311">
        <v>45118</v>
      </c>
      <c r="O7" s="276">
        <f t="shared" ref="O7:O13" si="0">(N7-M7)/7</f>
        <v>52.142857142857146</v>
      </c>
      <c r="P7" s="311">
        <v>45272</v>
      </c>
      <c r="Q7" s="311">
        <v>45272</v>
      </c>
      <c r="R7" s="357">
        <f t="shared" ref="R7:R20" si="1">(Q7-M7)/7-O7</f>
        <v>21.999999999999993</v>
      </c>
      <c r="S7" s="358" t="str">
        <f t="shared" ref="S7:S20" ca="1" si="2">IF((N7-TODAY())/7&gt;=0,"En tiempo","Alerta")</f>
        <v>Alerta</v>
      </c>
      <c r="T7" s="313">
        <v>2</v>
      </c>
      <c r="U7" s="359">
        <f>IF(T7/H7=1,1,+T7/H7)</f>
        <v>1</v>
      </c>
      <c r="V7" s="359">
        <f t="shared" ref="V7:V12" si="3">IF(R7&gt;O7,0%,IF(R7&lt;=0,"100%",1-(R7/O7)))</f>
        <v>0.5780821917808221</v>
      </c>
      <c r="W7" s="360" t="str">
        <f t="shared" ref="W7:W20" si="4">IF(Q7&lt;=N7,"Cumple","Incumple")</f>
        <v>Incumple</v>
      </c>
      <c r="X7" s="636" t="s">
        <v>1352</v>
      </c>
      <c r="Y7" s="637" t="s">
        <v>1353</v>
      </c>
      <c r="Z7" s="359">
        <f t="shared" ref="Z7:Z20" si="5">(U7+V7)/2</f>
        <v>0.78904109589041105</v>
      </c>
      <c r="AA7" s="361"/>
      <c r="AB7" s="361"/>
      <c r="AC7" s="362"/>
      <c r="AD7" s="278"/>
    </row>
    <row r="8" spans="1:30" ht="144">
      <c r="A8" s="292" t="s">
        <v>341</v>
      </c>
      <c r="B8" s="292" t="s">
        <v>583</v>
      </c>
      <c r="C8" s="316" t="s">
        <v>1344</v>
      </c>
      <c r="D8" s="367" t="s">
        <v>1345</v>
      </c>
      <c r="E8" s="316" t="s">
        <v>1346</v>
      </c>
      <c r="F8" s="356" t="s">
        <v>1354</v>
      </c>
      <c r="G8" s="316" t="s">
        <v>1348</v>
      </c>
      <c r="H8" s="355">
        <v>2</v>
      </c>
      <c r="I8" s="356" t="s">
        <v>1349</v>
      </c>
      <c r="J8" s="356" t="s">
        <v>1350</v>
      </c>
      <c r="K8" s="356" t="s">
        <v>611</v>
      </c>
      <c r="L8" s="356" t="s">
        <v>1351</v>
      </c>
      <c r="M8" s="311">
        <v>44774</v>
      </c>
      <c r="N8" s="311">
        <v>45139</v>
      </c>
      <c r="O8" s="276">
        <f t="shared" si="0"/>
        <v>52.142857142857146</v>
      </c>
      <c r="P8" s="311">
        <v>45107</v>
      </c>
      <c r="Q8" s="311">
        <v>45107</v>
      </c>
      <c r="R8" s="357">
        <f t="shared" si="1"/>
        <v>-4.5714285714285765</v>
      </c>
      <c r="S8" s="358" t="str">
        <f t="shared" ca="1" si="2"/>
        <v>Alerta</v>
      </c>
      <c r="T8" s="313">
        <v>2</v>
      </c>
      <c r="U8" s="359">
        <f t="shared" ref="U8:U20" si="6">IF(T8/H8=1,1,+T8/H8)</f>
        <v>1</v>
      </c>
      <c r="V8" s="359" t="str">
        <f t="shared" si="3"/>
        <v>100%</v>
      </c>
      <c r="W8" s="360" t="str">
        <f t="shared" si="4"/>
        <v>Cumple</v>
      </c>
      <c r="X8" s="555" t="s">
        <v>1355</v>
      </c>
      <c r="Y8" s="556" t="s">
        <v>1356</v>
      </c>
      <c r="Z8" s="359">
        <f t="shared" si="5"/>
        <v>1</v>
      </c>
      <c r="AA8" s="361">
        <v>1</v>
      </c>
      <c r="AB8" s="361">
        <v>0.25</v>
      </c>
      <c r="AC8" s="362">
        <f t="shared" ref="AC8:AC16" si="7">AVERAGE(Z8:AB8)</f>
        <v>0.75</v>
      </c>
      <c r="AD8" s="278" t="s">
        <v>1357</v>
      </c>
    </row>
    <row r="9" spans="1:30" ht="201">
      <c r="A9" s="292" t="s">
        <v>341</v>
      </c>
      <c r="B9" s="292" t="s">
        <v>583</v>
      </c>
      <c r="C9" s="316" t="s">
        <v>1358</v>
      </c>
      <c r="D9" s="367" t="s">
        <v>1359</v>
      </c>
      <c r="E9" s="316" t="s">
        <v>1346</v>
      </c>
      <c r="F9" s="316" t="s">
        <v>1360</v>
      </c>
      <c r="G9" s="316" t="s">
        <v>1361</v>
      </c>
      <c r="H9" s="355">
        <v>1</v>
      </c>
      <c r="I9" s="356" t="s">
        <v>1349</v>
      </c>
      <c r="J9" s="356" t="s">
        <v>590</v>
      </c>
      <c r="K9" s="356" t="s">
        <v>611</v>
      </c>
      <c r="L9" s="356" t="s">
        <v>1362</v>
      </c>
      <c r="M9" s="311">
        <v>44816</v>
      </c>
      <c r="N9" s="311">
        <v>45181</v>
      </c>
      <c r="O9" s="276">
        <f t="shared" si="0"/>
        <v>52.142857142857146</v>
      </c>
      <c r="P9" s="311">
        <v>45272</v>
      </c>
      <c r="Q9" s="554">
        <f t="shared" ref="Q9:Q20" si="8">P9</f>
        <v>45272</v>
      </c>
      <c r="R9" s="357">
        <f t="shared" si="1"/>
        <v>12.999999999999993</v>
      </c>
      <c r="S9" s="358" t="str">
        <f t="shared" ca="1" si="2"/>
        <v>Alerta</v>
      </c>
      <c r="T9" s="313">
        <v>0.9</v>
      </c>
      <c r="U9" s="359">
        <f t="shared" si="6"/>
        <v>0.9</v>
      </c>
      <c r="V9" s="359">
        <f t="shared" si="3"/>
        <v>0.75068493150684945</v>
      </c>
      <c r="W9" s="360" t="str">
        <f t="shared" si="4"/>
        <v>Incumple</v>
      </c>
      <c r="X9" s="555" t="s">
        <v>1363</v>
      </c>
      <c r="Y9" s="556" t="s">
        <v>1364</v>
      </c>
      <c r="Z9" s="359">
        <f t="shared" si="5"/>
        <v>0.82534246575342474</v>
      </c>
      <c r="AA9" s="361"/>
      <c r="AB9" s="361"/>
      <c r="AC9" s="362"/>
      <c r="AD9" s="278"/>
    </row>
    <row r="10" spans="1:30" ht="86.25">
      <c r="A10" s="292" t="s">
        <v>341</v>
      </c>
      <c r="B10" s="292" t="s">
        <v>583</v>
      </c>
      <c r="C10" s="316" t="s">
        <v>1358</v>
      </c>
      <c r="D10" s="367" t="s">
        <v>1359</v>
      </c>
      <c r="E10" s="316" t="s">
        <v>1346</v>
      </c>
      <c r="F10" s="316" t="s">
        <v>1365</v>
      </c>
      <c r="G10" s="316" t="s">
        <v>1366</v>
      </c>
      <c r="H10" s="355">
        <v>1</v>
      </c>
      <c r="I10" s="356" t="s">
        <v>1367</v>
      </c>
      <c r="J10" s="356" t="s">
        <v>590</v>
      </c>
      <c r="K10" s="356" t="s">
        <v>611</v>
      </c>
      <c r="L10" s="356" t="s">
        <v>1368</v>
      </c>
      <c r="M10" s="311">
        <v>44837</v>
      </c>
      <c r="N10" s="311">
        <v>45202</v>
      </c>
      <c r="O10" s="276">
        <f t="shared" si="0"/>
        <v>52.142857142857146</v>
      </c>
      <c r="P10" s="311">
        <v>45272</v>
      </c>
      <c r="Q10" s="554">
        <f t="shared" si="8"/>
        <v>45272</v>
      </c>
      <c r="R10" s="357">
        <f t="shared" si="1"/>
        <v>10</v>
      </c>
      <c r="S10" s="358" t="str">
        <f t="shared" ca="1" si="2"/>
        <v>Alerta</v>
      </c>
      <c r="T10" s="313">
        <v>0.5</v>
      </c>
      <c r="U10" s="359">
        <f t="shared" si="6"/>
        <v>0.5</v>
      </c>
      <c r="V10" s="359">
        <f t="shared" si="3"/>
        <v>0.80821917808219179</v>
      </c>
      <c r="W10" s="360" t="str">
        <f t="shared" si="4"/>
        <v>Incumple</v>
      </c>
      <c r="X10" s="555" t="s">
        <v>1369</v>
      </c>
      <c r="Y10" s="556" t="s">
        <v>1370</v>
      </c>
      <c r="Z10" s="359">
        <f t="shared" si="5"/>
        <v>0.65410958904109595</v>
      </c>
      <c r="AA10" s="361"/>
      <c r="AB10" s="361"/>
      <c r="AC10" s="362"/>
      <c r="AD10" s="278"/>
    </row>
    <row r="11" spans="1:30" ht="120.75" customHeight="1">
      <c r="A11" s="292" t="s">
        <v>341</v>
      </c>
      <c r="B11" s="292" t="s">
        <v>583</v>
      </c>
      <c r="C11" s="316" t="s">
        <v>1358</v>
      </c>
      <c r="D11" s="367" t="s">
        <v>1359</v>
      </c>
      <c r="E11" s="316" t="s">
        <v>1346</v>
      </c>
      <c r="F11" s="316" t="s">
        <v>1371</v>
      </c>
      <c r="G11" s="316" t="s">
        <v>1372</v>
      </c>
      <c r="H11" s="355">
        <v>1</v>
      </c>
      <c r="I11" s="356" t="s">
        <v>1373</v>
      </c>
      <c r="J11" s="356" t="s">
        <v>590</v>
      </c>
      <c r="K11" s="356" t="s">
        <v>611</v>
      </c>
      <c r="L11" s="356" t="s">
        <v>1374</v>
      </c>
      <c r="M11" s="311">
        <v>44866</v>
      </c>
      <c r="N11" s="311">
        <v>45234</v>
      </c>
      <c r="O11" s="276">
        <f t="shared" si="0"/>
        <v>52.571428571428569</v>
      </c>
      <c r="P11" s="311">
        <v>45272</v>
      </c>
      <c r="Q11" s="554">
        <f t="shared" si="8"/>
        <v>45272</v>
      </c>
      <c r="R11" s="357">
        <f t="shared" si="1"/>
        <v>5.4285714285714306</v>
      </c>
      <c r="S11" s="358" t="str">
        <f t="shared" ca="1" si="2"/>
        <v>Alerta</v>
      </c>
      <c r="T11" s="313">
        <v>0.8</v>
      </c>
      <c r="U11" s="359">
        <f t="shared" si="6"/>
        <v>0.8</v>
      </c>
      <c r="V11" s="359">
        <f t="shared" si="3"/>
        <v>0.89673913043478259</v>
      </c>
      <c r="W11" s="360" t="str">
        <f t="shared" si="4"/>
        <v>Incumple</v>
      </c>
      <c r="X11" s="555" t="s">
        <v>1375</v>
      </c>
      <c r="Y11" s="638" t="s">
        <v>1376</v>
      </c>
      <c r="Z11" s="359">
        <f t="shared" si="5"/>
        <v>0.84836956521739126</v>
      </c>
      <c r="AA11" s="361"/>
      <c r="AB11" s="361"/>
      <c r="AC11" s="362"/>
      <c r="AD11" s="278"/>
    </row>
    <row r="12" spans="1:30" ht="86.25">
      <c r="A12" s="292" t="s">
        <v>341</v>
      </c>
      <c r="B12" s="292" t="s">
        <v>583</v>
      </c>
      <c r="C12" s="316" t="s">
        <v>1358</v>
      </c>
      <c r="D12" s="367" t="s">
        <v>1359</v>
      </c>
      <c r="E12" s="316" t="s">
        <v>1346</v>
      </c>
      <c r="F12" s="316" t="s">
        <v>1377</v>
      </c>
      <c r="G12" s="316" t="s">
        <v>1378</v>
      </c>
      <c r="H12" s="355">
        <v>1</v>
      </c>
      <c r="I12" s="356" t="s">
        <v>1379</v>
      </c>
      <c r="J12" s="356" t="s">
        <v>590</v>
      </c>
      <c r="K12" s="356" t="s">
        <v>611</v>
      </c>
      <c r="L12" s="356" t="s">
        <v>1380</v>
      </c>
      <c r="M12" s="311">
        <v>44873</v>
      </c>
      <c r="N12" s="311">
        <v>45245</v>
      </c>
      <c r="O12" s="276">
        <f t="shared" si="0"/>
        <v>53.142857142857146</v>
      </c>
      <c r="P12" s="311">
        <v>45272</v>
      </c>
      <c r="Q12" s="554">
        <f t="shared" si="8"/>
        <v>45272</v>
      </c>
      <c r="R12" s="357">
        <f t="shared" si="1"/>
        <v>3.8571428571428541</v>
      </c>
      <c r="S12" s="358" t="str">
        <f t="shared" ca="1" si="2"/>
        <v>Alerta</v>
      </c>
      <c r="T12" s="313"/>
      <c r="U12" s="359">
        <f t="shared" si="6"/>
        <v>0</v>
      </c>
      <c r="V12" s="359">
        <f t="shared" si="3"/>
        <v>0.92741935483870974</v>
      </c>
      <c r="W12" s="360" t="str">
        <f t="shared" si="4"/>
        <v>Incumple</v>
      </c>
      <c r="X12" s="555" t="s">
        <v>1381</v>
      </c>
      <c r="Y12" s="639" t="s">
        <v>1382</v>
      </c>
      <c r="Z12" s="359">
        <f t="shared" si="5"/>
        <v>0.46370967741935487</v>
      </c>
      <c r="AA12" s="361"/>
      <c r="AB12" s="361"/>
      <c r="AC12" s="362"/>
      <c r="AD12" s="278"/>
    </row>
    <row r="13" spans="1:30" ht="86.25">
      <c r="A13" s="292" t="s">
        <v>341</v>
      </c>
      <c r="B13" s="292" t="s">
        <v>583</v>
      </c>
      <c r="C13" s="316" t="s">
        <v>1358</v>
      </c>
      <c r="D13" s="367" t="s">
        <v>1359</v>
      </c>
      <c r="E13" s="316" t="s">
        <v>1346</v>
      </c>
      <c r="F13" s="316" t="s">
        <v>1383</v>
      </c>
      <c r="G13" s="316" t="s">
        <v>1384</v>
      </c>
      <c r="H13" s="355">
        <v>1</v>
      </c>
      <c r="I13" s="356" t="s">
        <v>1385</v>
      </c>
      <c r="J13" s="356" t="s">
        <v>590</v>
      </c>
      <c r="K13" s="356" t="s">
        <v>611</v>
      </c>
      <c r="L13" s="356" t="s">
        <v>1386</v>
      </c>
      <c r="M13" s="311">
        <v>44880</v>
      </c>
      <c r="N13" s="311">
        <v>45245</v>
      </c>
      <c r="O13" s="276">
        <f t="shared" si="0"/>
        <v>52.142857142857146</v>
      </c>
      <c r="P13" s="311">
        <v>45272</v>
      </c>
      <c r="Q13" s="554">
        <f t="shared" si="8"/>
        <v>45272</v>
      </c>
      <c r="R13" s="357">
        <f>(Q13-M13)/7-O13</f>
        <v>3.8571428571428541</v>
      </c>
      <c r="S13" s="358" t="str">
        <f t="shared" ca="1" si="2"/>
        <v>Alerta</v>
      </c>
      <c r="T13" s="313"/>
      <c r="U13" s="359">
        <f t="shared" si="6"/>
        <v>0</v>
      </c>
      <c r="V13" s="359">
        <f>IF(R12&gt;O12,0%,IF(R12&lt;=0,"100%",1-(R12/O12)))</f>
        <v>0.92741935483870974</v>
      </c>
      <c r="W13" s="360" t="str">
        <f t="shared" si="4"/>
        <v>Incumple</v>
      </c>
      <c r="X13" s="555" t="s">
        <v>1387</v>
      </c>
      <c r="Y13" s="639" t="s">
        <v>1382</v>
      </c>
      <c r="Z13" s="359">
        <f t="shared" si="5"/>
        <v>0.46370967741935487</v>
      </c>
      <c r="AA13" s="361"/>
      <c r="AB13" s="361"/>
      <c r="AC13" s="362"/>
      <c r="AD13" s="278"/>
    </row>
    <row r="14" spans="1:30" ht="151.5" customHeight="1">
      <c r="A14" s="292" t="s">
        <v>341</v>
      </c>
      <c r="B14" s="292" t="s">
        <v>583</v>
      </c>
      <c r="C14" s="316" t="s">
        <v>1388</v>
      </c>
      <c r="D14" s="316" t="s">
        <v>1389</v>
      </c>
      <c r="E14" s="367" t="s">
        <v>1390</v>
      </c>
      <c r="F14" s="316" t="s">
        <v>1391</v>
      </c>
      <c r="G14" s="316" t="s">
        <v>1392</v>
      </c>
      <c r="H14" s="355">
        <v>1</v>
      </c>
      <c r="I14" s="356" t="s">
        <v>1393</v>
      </c>
      <c r="J14" s="356" t="s">
        <v>590</v>
      </c>
      <c r="K14" s="356" t="s">
        <v>611</v>
      </c>
      <c r="L14" s="356" t="s">
        <v>1392</v>
      </c>
      <c r="M14" s="311">
        <v>44760</v>
      </c>
      <c r="N14" s="311">
        <v>45125</v>
      </c>
      <c r="O14" s="276">
        <f t="shared" ref="O14:O20" si="9">(N14-M14)/7</f>
        <v>52.142857142857146</v>
      </c>
      <c r="P14" s="311">
        <v>45272</v>
      </c>
      <c r="Q14" s="554">
        <f t="shared" si="8"/>
        <v>45272</v>
      </c>
      <c r="R14" s="357">
        <f t="shared" si="1"/>
        <v>20.999999999999993</v>
      </c>
      <c r="S14" s="358" t="str">
        <f t="shared" ca="1" si="2"/>
        <v>Alerta</v>
      </c>
      <c r="T14" s="363">
        <v>0.4</v>
      </c>
      <c r="U14" s="359">
        <f t="shared" si="6"/>
        <v>0.4</v>
      </c>
      <c r="V14" s="359">
        <f t="shared" ref="V14:V20" si="10">IF(R14&gt;O14,0%,IF(R14&lt;=0,"100%",1-(R14/O14)))</f>
        <v>0.59726027397260295</v>
      </c>
      <c r="W14" s="360" t="str">
        <f t="shared" si="4"/>
        <v>Incumple</v>
      </c>
      <c r="X14" s="555" t="s">
        <v>1394</v>
      </c>
      <c r="Y14" s="637" t="s">
        <v>1395</v>
      </c>
      <c r="Z14" s="359">
        <f t="shared" si="5"/>
        <v>0.49863013698630149</v>
      </c>
      <c r="AA14" s="361"/>
      <c r="AB14" s="361"/>
      <c r="AC14" s="362"/>
      <c r="AD14" s="278"/>
    </row>
    <row r="15" spans="1:30" ht="154.5" customHeight="1">
      <c r="A15" s="292" t="s">
        <v>341</v>
      </c>
      <c r="B15" s="292" t="s">
        <v>583</v>
      </c>
      <c r="C15" s="316" t="s">
        <v>1396</v>
      </c>
      <c r="D15" s="316" t="s">
        <v>1397</v>
      </c>
      <c r="E15" s="367" t="s">
        <v>1398</v>
      </c>
      <c r="F15" s="316" t="s">
        <v>1399</v>
      </c>
      <c r="G15" s="316" t="s">
        <v>1400</v>
      </c>
      <c r="H15" s="355">
        <v>4</v>
      </c>
      <c r="I15" s="356" t="s">
        <v>1393</v>
      </c>
      <c r="J15" s="356" t="s">
        <v>590</v>
      </c>
      <c r="K15" s="356" t="s">
        <v>591</v>
      </c>
      <c r="L15" s="356" t="s">
        <v>1400</v>
      </c>
      <c r="M15" s="311">
        <v>44805</v>
      </c>
      <c r="N15" s="311">
        <v>45170</v>
      </c>
      <c r="O15" s="276">
        <f t="shared" si="9"/>
        <v>52.142857142857146</v>
      </c>
      <c r="P15" s="311">
        <v>45272</v>
      </c>
      <c r="Q15" s="554">
        <f t="shared" si="8"/>
        <v>45272</v>
      </c>
      <c r="R15" s="357">
        <f t="shared" si="1"/>
        <v>14.571428571428562</v>
      </c>
      <c r="S15" s="358" t="str">
        <f t="shared" ca="1" si="2"/>
        <v>Alerta</v>
      </c>
      <c r="T15" s="364"/>
      <c r="U15" s="359">
        <f t="shared" si="6"/>
        <v>0</v>
      </c>
      <c r="V15" s="359">
        <f t="shared" si="10"/>
        <v>0.72054794520547971</v>
      </c>
      <c r="W15" s="360" t="str">
        <f t="shared" si="4"/>
        <v>Incumple</v>
      </c>
      <c r="X15" s="555" t="s">
        <v>1401</v>
      </c>
      <c r="Y15" s="556" t="s">
        <v>1382</v>
      </c>
      <c r="Z15" s="359">
        <f t="shared" si="5"/>
        <v>0.36027397260273986</v>
      </c>
      <c r="AA15" s="361"/>
      <c r="AB15" s="361"/>
      <c r="AC15" s="362"/>
      <c r="AD15" s="278"/>
    </row>
    <row r="16" spans="1:30" ht="129.75">
      <c r="A16" s="292" t="s">
        <v>341</v>
      </c>
      <c r="B16" s="292" t="s">
        <v>583</v>
      </c>
      <c r="C16" s="316" t="s">
        <v>1402</v>
      </c>
      <c r="D16" s="367" t="s">
        <v>1403</v>
      </c>
      <c r="E16" s="316" t="s">
        <v>1404</v>
      </c>
      <c r="F16" s="356" t="s">
        <v>1405</v>
      </c>
      <c r="G16" s="316" t="s">
        <v>1406</v>
      </c>
      <c r="H16" s="365">
        <v>1</v>
      </c>
      <c r="I16" s="356" t="s">
        <v>1407</v>
      </c>
      <c r="J16" s="356" t="s">
        <v>590</v>
      </c>
      <c r="K16" s="356" t="s">
        <v>611</v>
      </c>
      <c r="L16" s="356" t="s">
        <v>1408</v>
      </c>
      <c r="M16" s="311">
        <v>44774</v>
      </c>
      <c r="N16" s="311">
        <v>45143</v>
      </c>
      <c r="O16" s="276">
        <f t="shared" si="9"/>
        <v>52.714285714285715</v>
      </c>
      <c r="P16" s="311">
        <v>45107</v>
      </c>
      <c r="Q16" s="311">
        <f t="shared" si="8"/>
        <v>45107</v>
      </c>
      <c r="R16" s="357">
        <f t="shared" si="1"/>
        <v>-5.1428571428571459</v>
      </c>
      <c r="S16" s="358" t="str">
        <f t="shared" ca="1" si="2"/>
        <v>Alerta</v>
      </c>
      <c r="T16" s="364">
        <v>1</v>
      </c>
      <c r="U16" s="359">
        <f t="shared" si="6"/>
        <v>1</v>
      </c>
      <c r="V16" s="359" t="str">
        <f t="shared" si="10"/>
        <v>100%</v>
      </c>
      <c r="W16" s="360" t="str">
        <f t="shared" si="4"/>
        <v>Cumple</v>
      </c>
      <c r="X16" s="555" t="s">
        <v>1409</v>
      </c>
      <c r="Y16" s="556" t="s">
        <v>1410</v>
      </c>
      <c r="Z16" s="359">
        <f t="shared" si="5"/>
        <v>1</v>
      </c>
      <c r="AA16" s="361">
        <v>0.5</v>
      </c>
      <c r="AB16" s="361">
        <v>0.25</v>
      </c>
      <c r="AC16" s="362">
        <f t="shared" si="7"/>
        <v>0.58333333333333337</v>
      </c>
      <c r="AD16" s="278" t="s">
        <v>1411</v>
      </c>
    </row>
    <row r="17" spans="1:30" ht="157.5" customHeight="1">
      <c r="A17" s="292" t="s">
        <v>341</v>
      </c>
      <c r="B17" s="292" t="s">
        <v>583</v>
      </c>
      <c r="C17" s="316" t="s">
        <v>1402</v>
      </c>
      <c r="D17" s="367" t="s">
        <v>1403</v>
      </c>
      <c r="E17" s="316" t="s">
        <v>1404</v>
      </c>
      <c r="F17" s="356" t="s">
        <v>1412</v>
      </c>
      <c r="G17" s="316" t="s">
        <v>1413</v>
      </c>
      <c r="H17" s="355">
        <v>1</v>
      </c>
      <c r="I17" s="356" t="s">
        <v>1407</v>
      </c>
      <c r="J17" s="356" t="s">
        <v>590</v>
      </c>
      <c r="K17" s="356" t="s">
        <v>611</v>
      </c>
      <c r="L17" s="356" t="s">
        <v>1414</v>
      </c>
      <c r="M17" s="311">
        <v>44760</v>
      </c>
      <c r="N17" s="311">
        <v>45125</v>
      </c>
      <c r="O17" s="276">
        <f t="shared" si="9"/>
        <v>52.142857142857146</v>
      </c>
      <c r="P17" s="311">
        <v>45272</v>
      </c>
      <c r="Q17" s="554">
        <f t="shared" si="8"/>
        <v>45272</v>
      </c>
      <c r="R17" s="357">
        <f t="shared" si="1"/>
        <v>20.999999999999993</v>
      </c>
      <c r="S17" s="358" t="str">
        <f t="shared" ca="1" si="2"/>
        <v>Alerta</v>
      </c>
      <c r="T17" s="364"/>
      <c r="U17" s="359">
        <f t="shared" si="6"/>
        <v>0</v>
      </c>
      <c r="V17" s="359">
        <f t="shared" si="10"/>
        <v>0.59726027397260295</v>
      </c>
      <c r="W17" s="360" t="str">
        <f t="shared" si="4"/>
        <v>Incumple</v>
      </c>
      <c r="X17" s="640" t="s">
        <v>1415</v>
      </c>
      <c r="Y17" s="641" t="s">
        <v>1416</v>
      </c>
      <c r="Z17" s="359">
        <f t="shared" si="5"/>
        <v>0.29863013698630148</v>
      </c>
      <c r="AA17" s="361"/>
      <c r="AB17" s="361"/>
      <c r="AC17" s="362"/>
      <c r="AD17" s="278"/>
    </row>
    <row r="18" spans="1:30" ht="72">
      <c r="A18" s="366" t="s">
        <v>341</v>
      </c>
      <c r="B18" s="366" t="s">
        <v>583</v>
      </c>
      <c r="C18" s="367" t="s">
        <v>1417</v>
      </c>
      <c r="D18" s="367" t="s">
        <v>1418</v>
      </c>
      <c r="E18" s="367" t="s">
        <v>1419</v>
      </c>
      <c r="F18" s="367" t="s">
        <v>1420</v>
      </c>
      <c r="G18" s="367" t="s">
        <v>1421</v>
      </c>
      <c r="H18" s="367">
        <v>1</v>
      </c>
      <c r="I18" s="368" t="s">
        <v>1422</v>
      </c>
      <c r="J18" s="368" t="s">
        <v>600</v>
      </c>
      <c r="K18" s="368" t="s">
        <v>778</v>
      </c>
      <c r="L18" s="368" t="s">
        <v>1423</v>
      </c>
      <c r="M18" s="311">
        <v>44852</v>
      </c>
      <c r="N18" s="311">
        <v>45217</v>
      </c>
      <c r="O18" s="276">
        <f t="shared" si="9"/>
        <v>52.142857142857146</v>
      </c>
      <c r="P18" s="311">
        <v>45272</v>
      </c>
      <c r="Q18" s="554">
        <f t="shared" si="8"/>
        <v>45272</v>
      </c>
      <c r="R18" s="357">
        <f t="shared" si="1"/>
        <v>7.8571428571428541</v>
      </c>
      <c r="S18" s="358" t="str">
        <f t="shared" ca="1" si="2"/>
        <v>Alerta</v>
      </c>
      <c r="T18" s="369"/>
      <c r="U18" s="359">
        <f t="shared" si="6"/>
        <v>0</v>
      </c>
      <c r="V18" s="359">
        <f t="shared" si="10"/>
        <v>0.84931506849315075</v>
      </c>
      <c r="W18" s="360" t="str">
        <f t="shared" si="4"/>
        <v>Incumple</v>
      </c>
      <c r="X18" s="555" t="s">
        <v>1424</v>
      </c>
      <c r="Y18" s="556" t="s">
        <v>1425</v>
      </c>
      <c r="Z18" s="359">
        <f t="shared" si="5"/>
        <v>0.42465753424657537</v>
      </c>
      <c r="AA18" s="361"/>
      <c r="AB18" s="361"/>
      <c r="AC18" s="362"/>
      <c r="AD18" s="278"/>
    </row>
    <row r="19" spans="1:30" ht="218.25">
      <c r="A19" s="292" t="s">
        <v>341</v>
      </c>
      <c r="B19" s="292" t="s">
        <v>583</v>
      </c>
      <c r="C19" s="316" t="s">
        <v>1426</v>
      </c>
      <c r="D19" s="316" t="s">
        <v>1427</v>
      </c>
      <c r="E19" s="356" t="s">
        <v>1428</v>
      </c>
      <c r="F19" s="368" t="s">
        <v>1429</v>
      </c>
      <c r="G19" s="356" t="s">
        <v>1430</v>
      </c>
      <c r="H19" s="365">
        <v>1</v>
      </c>
      <c r="I19" s="356" t="s">
        <v>1431</v>
      </c>
      <c r="J19" s="356" t="s">
        <v>590</v>
      </c>
      <c r="K19" s="356" t="s">
        <v>611</v>
      </c>
      <c r="L19" s="356" t="s">
        <v>1432</v>
      </c>
      <c r="M19" s="311">
        <v>44874</v>
      </c>
      <c r="N19" s="311">
        <v>45239</v>
      </c>
      <c r="O19" s="276">
        <f t="shared" si="9"/>
        <v>52.142857142857146</v>
      </c>
      <c r="P19" s="311">
        <v>45272</v>
      </c>
      <c r="Q19" s="554">
        <f t="shared" si="8"/>
        <v>45272</v>
      </c>
      <c r="R19" s="357">
        <f t="shared" si="1"/>
        <v>4.7142857142857082</v>
      </c>
      <c r="S19" s="358" t="str">
        <f t="shared" ca="1" si="2"/>
        <v>Alerta</v>
      </c>
      <c r="T19" s="364">
        <v>0.3</v>
      </c>
      <c r="U19" s="359">
        <f t="shared" si="6"/>
        <v>0.3</v>
      </c>
      <c r="V19" s="359">
        <f t="shared" si="10"/>
        <v>0.90958904109589056</v>
      </c>
      <c r="W19" s="360" t="str">
        <f t="shared" si="4"/>
        <v>Incumple</v>
      </c>
      <c r="X19" s="555" t="s">
        <v>1433</v>
      </c>
      <c r="Y19" s="556" t="s">
        <v>61</v>
      </c>
      <c r="Z19" s="359">
        <f t="shared" si="5"/>
        <v>0.60479452054794525</v>
      </c>
      <c r="AA19" s="361"/>
      <c r="AB19" s="361"/>
      <c r="AC19" s="362"/>
      <c r="AD19" s="278"/>
    </row>
    <row r="20" spans="1:30" ht="100.5">
      <c r="A20" s="292" t="s">
        <v>341</v>
      </c>
      <c r="B20" s="292" t="s">
        <v>583</v>
      </c>
      <c r="C20" s="316" t="s">
        <v>1426</v>
      </c>
      <c r="D20" s="316" t="s">
        <v>1427</v>
      </c>
      <c r="E20" s="356" t="s">
        <v>1428</v>
      </c>
      <c r="F20" s="368" t="s">
        <v>1434</v>
      </c>
      <c r="G20" s="316" t="s">
        <v>1435</v>
      </c>
      <c r="H20" s="365">
        <v>1</v>
      </c>
      <c r="I20" s="356" t="s">
        <v>1431</v>
      </c>
      <c r="J20" s="356" t="s">
        <v>590</v>
      </c>
      <c r="K20" s="356" t="s">
        <v>611</v>
      </c>
      <c r="L20" s="356" t="s">
        <v>1436</v>
      </c>
      <c r="M20" s="311">
        <v>44880</v>
      </c>
      <c r="N20" s="311">
        <v>45245</v>
      </c>
      <c r="O20" s="276">
        <f t="shared" si="9"/>
        <v>52.142857142857146</v>
      </c>
      <c r="P20" s="311">
        <v>45272</v>
      </c>
      <c r="Q20" s="554">
        <f t="shared" si="8"/>
        <v>45272</v>
      </c>
      <c r="R20" s="357">
        <f t="shared" si="1"/>
        <v>3.8571428571428541</v>
      </c>
      <c r="S20" s="358" t="str">
        <f t="shared" ca="1" si="2"/>
        <v>Alerta</v>
      </c>
      <c r="T20" s="364">
        <v>0.3</v>
      </c>
      <c r="U20" s="359">
        <f t="shared" si="6"/>
        <v>0.3</v>
      </c>
      <c r="V20" s="359">
        <f t="shared" si="10"/>
        <v>0.92602739726027405</v>
      </c>
      <c r="W20" s="360" t="str">
        <f t="shared" si="4"/>
        <v>Incumple</v>
      </c>
      <c r="X20" s="555" t="s">
        <v>1437</v>
      </c>
      <c r="Y20" s="556" t="s">
        <v>61</v>
      </c>
      <c r="Z20" s="359">
        <f t="shared" si="5"/>
        <v>0.61301369863013699</v>
      </c>
      <c r="AA20" s="361"/>
      <c r="AB20" s="361"/>
      <c r="AC20" s="362"/>
      <c r="AD20" s="278"/>
    </row>
    <row r="21" spans="1:30" ht="15">
      <c r="G21" s="250" t="s">
        <v>153</v>
      </c>
      <c r="H21" s="276">
        <f>SUM(H7:H20)</f>
        <v>19</v>
      </c>
      <c r="R21" s="775" t="s">
        <v>154</v>
      </c>
      <c r="S21" s="775"/>
      <c r="T21" s="275">
        <f>SUM(T7:T19)</f>
        <v>7.9</v>
      </c>
      <c r="U21" s="265">
        <f>AVERAGE(U7:U20)</f>
        <v>0.44285714285714289</v>
      </c>
      <c r="V21" s="63"/>
      <c r="W21" s="268">
        <f>(COUNTIF(W7:W20,"Cumple")*100%)/COUNTA(W7:W20)</f>
        <v>0.14285714285714285</v>
      </c>
      <c r="AA21" s="775" t="s">
        <v>154</v>
      </c>
      <c r="AB21" s="775"/>
      <c r="AC21" s="268">
        <f>AVERAGE(AC7:AC19)</f>
        <v>0.66666666666666674</v>
      </c>
    </row>
  </sheetData>
  <mergeCells count="29">
    <mergeCell ref="AA21:AB21"/>
    <mergeCell ref="R21:S21"/>
    <mergeCell ref="O1:P2"/>
    <mergeCell ref="Q1:Y2"/>
    <mergeCell ref="A3:B3"/>
    <mergeCell ref="C3:F3"/>
    <mergeCell ref="G3:H3"/>
    <mergeCell ref="I4:N4"/>
    <mergeCell ref="O4:P4"/>
    <mergeCell ref="Q4:S4"/>
    <mergeCell ref="I3:N3"/>
    <mergeCell ref="O3:P3"/>
    <mergeCell ref="Q3:V3"/>
    <mergeCell ref="Z1:AD4"/>
    <mergeCell ref="A5:N5"/>
    <mergeCell ref="O5:Y5"/>
    <mergeCell ref="Z5:AD5"/>
    <mergeCell ref="W3:X3"/>
    <mergeCell ref="A1:B1"/>
    <mergeCell ref="C1:N1"/>
    <mergeCell ref="A2:B2"/>
    <mergeCell ref="C2:F2"/>
    <mergeCell ref="G2:H2"/>
    <mergeCell ref="I2:N2"/>
    <mergeCell ref="T4:U4"/>
    <mergeCell ref="V4:Y4"/>
    <mergeCell ref="A4:B4"/>
    <mergeCell ref="C4:F4"/>
    <mergeCell ref="G4:H4"/>
  </mergeCells>
  <conditionalFormatting sqref="R7:R20">
    <cfRule type="cellIs" dxfId="203" priority="1" operator="greaterThan">
      <formula>0</formula>
    </cfRule>
    <cfRule type="cellIs" dxfId="202" priority="2" operator="lessThan">
      <formula>0</formula>
    </cfRule>
  </conditionalFormatting>
  <conditionalFormatting sqref="S7:S20">
    <cfRule type="containsText" dxfId="201" priority="24" operator="containsText" text="Alerta">
      <formula>NOT(ISERROR(SEARCH("Alerta",S7)))</formula>
    </cfRule>
    <cfRule type="containsText" dxfId="200" priority="25" operator="containsText" text="En tiempo">
      <formula>NOT(ISERROR(SEARCH("En tiempo",S7)))</formula>
    </cfRule>
  </conditionalFormatting>
  <conditionalFormatting sqref="U7:V7 Z7:Z20 V8:V11 U8:U21 V13:V20">
    <cfRule type="cellIs" dxfId="199" priority="18" operator="between">
      <formula>0.29</formula>
      <formula>0</formula>
    </cfRule>
    <cfRule type="cellIs" dxfId="198" priority="19" operator="between">
      <formula>0.49</formula>
      <formula>0.3</formula>
    </cfRule>
    <cfRule type="cellIs" dxfId="197" priority="20" operator="between">
      <formula>0.79</formula>
      <formula>0.5</formula>
    </cfRule>
    <cfRule type="cellIs" dxfId="196" priority="21" operator="between">
      <formula>1</formula>
      <formula>0.8</formula>
    </cfRule>
  </conditionalFormatting>
  <conditionalFormatting sqref="V12">
    <cfRule type="cellIs" dxfId="195" priority="3" operator="between">
      <formula>0.19</formula>
      <formula>0</formula>
    </cfRule>
    <cfRule type="cellIs" dxfId="194" priority="4" operator="between">
      <formula>0.49</formula>
      <formula>0.2</formula>
    </cfRule>
    <cfRule type="cellIs" dxfId="193" priority="5" operator="between">
      <formula>0.89</formula>
      <formula>0.5</formula>
    </cfRule>
    <cfRule type="cellIs" dxfId="192" priority="6" operator="between">
      <formula>1</formula>
      <formula>0.9</formula>
    </cfRule>
  </conditionalFormatting>
  <conditionalFormatting sqref="W7:W20">
    <cfRule type="containsText" dxfId="191" priority="22" operator="containsText" text="Incumple">
      <formula>NOT(ISERROR(SEARCH("Incumple",W7)))</formula>
    </cfRule>
    <cfRule type="containsText" dxfId="190" priority="23" operator="containsText" text="Cumple">
      <formula>NOT(ISERROR(SEARCH("Cumple",W7)))</formula>
    </cfRule>
  </conditionalFormatting>
  <conditionalFormatting sqref="W21">
    <cfRule type="cellIs" dxfId="189" priority="10" operator="between">
      <formula>0.19</formula>
      <formula>0</formula>
    </cfRule>
    <cfRule type="cellIs" dxfId="188" priority="11" operator="between">
      <formula>0.49</formula>
      <formula>0.2</formula>
    </cfRule>
    <cfRule type="cellIs" dxfId="187" priority="12" operator="between">
      <formula>0.89</formula>
      <formula>0.5</formula>
    </cfRule>
    <cfRule type="cellIs" dxfId="186" priority="13" operator="between">
      <formula>1</formula>
      <formula>0.9</formula>
    </cfRule>
  </conditionalFormatting>
  <conditionalFormatting sqref="AC7:AC21">
    <cfRule type="cellIs" dxfId="185" priority="7" operator="between">
      <formula>0.3</formula>
      <formula>0</formula>
    </cfRule>
    <cfRule type="cellIs" dxfId="184" priority="8" operator="between">
      <formula>0.6999</formula>
      <formula>0.3111</formula>
    </cfRule>
    <cfRule type="cellIs" dxfId="183" priority="9" operator="between">
      <formula>1</formula>
      <formula>0.7</formula>
    </cfRule>
  </conditionalFormatting>
  <dataValidations count="5">
    <dataValidation type="list" allowBlank="1" showInputMessage="1" showErrorMessage="1" sqref="B7:B20" xr:uid="{C317372F-A6E5-42C5-9455-D9F6CE1A9651}">
      <formula1>$AV$5:$AV$14</formula1>
    </dataValidation>
    <dataValidation type="list" allowBlank="1" showInputMessage="1" showErrorMessage="1" sqref="A7:A20" xr:uid="{8962E718-A105-4227-9609-8B04DA87812D}">
      <formula1>$AP$4:$AP$16</formula1>
    </dataValidation>
    <dataValidation type="list" allowBlank="1" showInputMessage="1" showErrorMessage="1" sqref="J16:J20 J7:J13" xr:uid="{CD6A91A9-0EEE-42EF-9250-DB6E2D53970B}">
      <formula1>$AR$4:$AR$16</formula1>
    </dataValidation>
    <dataValidation type="list" allowBlank="1" showInputMessage="1" showErrorMessage="1" sqref="K7:K20" xr:uid="{23F20EC3-1846-4070-9662-DA04BE2BB721}">
      <formula1>$AS$4:$AS$16</formula1>
    </dataValidation>
    <dataValidation type="list" allowBlank="1" showInputMessage="1" showErrorMessage="1" errorTitle="Estado" error="No es un estado de los Planes de Mejoramiento" sqref="Q4:S4" xr:uid="{5471CC64-BA01-4825-AFA5-771FE9BA1ECB}">
      <formula1>$AW$4:$AW$7</formula1>
    </dataValidation>
  </dataValidation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C00CD-8DBF-4A08-B090-30A1BBE9626B}">
  <sheetPr>
    <tabColor theme="0"/>
  </sheetPr>
  <dimension ref="A1:AW29"/>
  <sheetViews>
    <sheetView zoomScale="40" zoomScaleNormal="40" workbookViewId="0">
      <selection activeCell="X17" sqref="X17"/>
    </sheetView>
  </sheetViews>
  <sheetFormatPr defaultColWidth="17.5703125" defaultRowHeight="12.75"/>
  <cols>
    <col min="1" max="1" width="11.7109375" style="53" customWidth="1"/>
    <col min="2" max="2" width="12.85546875" style="53" customWidth="1"/>
    <col min="3" max="3" width="57.140625" style="53" customWidth="1"/>
    <col min="4" max="4" width="48" style="53" customWidth="1"/>
    <col min="5" max="5" width="27.5703125" style="53" customWidth="1"/>
    <col min="6" max="6" width="32.140625" style="53" customWidth="1"/>
    <col min="7" max="7" width="27.140625" style="53" customWidth="1"/>
    <col min="8" max="8" width="13.42578125" style="53" customWidth="1"/>
    <col min="9" max="9" width="26.5703125" style="53" customWidth="1"/>
    <col min="10" max="10" width="16.140625" style="53" customWidth="1"/>
    <col min="11" max="11" width="21.42578125" style="53" customWidth="1"/>
    <col min="12" max="12" width="20.5703125" style="53" customWidth="1"/>
    <col min="13" max="13" width="12.7109375" style="53" customWidth="1"/>
    <col min="14" max="14" width="14" style="53" customWidth="1"/>
    <col min="15" max="15" width="12" style="53" customWidth="1"/>
    <col min="16" max="16" width="18.28515625" style="53" customWidth="1"/>
    <col min="17" max="17" width="17" style="53" customWidth="1"/>
    <col min="18" max="18" width="11.5703125" style="53" customWidth="1"/>
    <col min="19" max="19" width="11.140625" style="53" customWidth="1"/>
    <col min="20" max="20" width="15" style="53" customWidth="1"/>
    <col min="21" max="21" width="16.5703125" style="53" customWidth="1"/>
    <col min="22" max="22" width="18.42578125" style="53" customWidth="1"/>
    <col min="23" max="23" width="16.7109375" style="53" customWidth="1"/>
    <col min="24" max="24" width="74.7109375" style="53" customWidth="1"/>
    <col min="25" max="25" width="63.5703125" style="53" customWidth="1"/>
    <col min="26" max="26" width="12.28515625" style="53" customWidth="1"/>
    <col min="27" max="27" width="13.42578125" style="53" customWidth="1"/>
    <col min="28" max="28" width="14.140625" style="53" customWidth="1"/>
    <col min="29" max="29" width="12.5703125" style="53" customWidth="1"/>
    <col min="30" max="30" width="107.28515625" style="53" customWidth="1"/>
    <col min="31" max="41" width="9.140625"/>
    <col min="42" max="42" width="28.5703125" hidden="1" customWidth="1"/>
    <col min="43" max="43" width="42" hidden="1" customWidth="1"/>
    <col min="44" max="44" width="17.5703125" hidden="1" customWidth="1"/>
    <col min="45" max="45" width="51.42578125" hidden="1" customWidth="1"/>
    <col min="46" max="46" width="8.5703125" hidden="1" customWidth="1"/>
    <col min="47" max="47" width="7.140625" hidden="1" customWidth="1"/>
    <col min="48" max="48" width="20.85546875" hidden="1" customWidth="1"/>
    <col min="49" max="49" width="17.5703125" hidden="1" customWidth="1"/>
    <col min="50" max="50" width="22.42578125" customWidth="1"/>
  </cols>
  <sheetData>
    <row r="1" spans="1:30" ht="105" customHeight="1" thickBot="1">
      <c r="A1" s="745" t="s">
        <v>0</v>
      </c>
      <c r="B1" s="745"/>
      <c r="C1" s="745" t="s">
        <v>155</v>
      </c>
      <c r="D1" s="745"/>
      <c r="E1" s="745"/>
      <c r="F1" s="745"/>
      <c r="G1" s="745"/>
      <c r="H1" s="745"/>
      <c r="I1" s="745"/>
      <c r="J1" s="745"/>
      <c r="K1" s="745"/>
      <c r="L1" s="745"/>
      <c r="M1" s="745"/>
      <c r="N1" s="745"/>
      <c r="O1" s="745"/>
      <c r="P1" s="745"/>
      <c r="Q1" s="745" t="s">
        <v>1</v>
      </c>
      <c r="R1" s="745"/>
      <c r="S1" s="745"/>
      <c r="T1" s="745"/>
      <c r="U1" s="745"/>
      <c r="V1" s="745"/>
      <c r="W1" s="745"/>
      <c r="X1" s="745"/>
      <c r="Y1" s="745"/>
      <c r="Z1" s="745" t="s">
        <v>1</v>
      </c>
      <c r="AA1" s="745"/>
      <c r="AB1" s="745"/>
      <c r="AC1" s="745"/>
      <c r="AD1" s="745"/>
    </row>
    <row r="2" spans="1:30" ht="15.75" thickBot="1">
      <c r="A2" s="745" t="s">
        <v>2</v>
      </c>
      <c r="B2" s="745"/>
      <c r="C2" s="745" t="s">
        <v>3</v>
      </c>
      <c r="D2" s="750"/>
      <c r="E2" s="750"/>
      <c r="F2" s="750"/>
      <c r="G2" s="745" t="s">
        <v>4</v>
      </c>
      <c r="H2" s="745"/>
      <c r="I2" s="745" t="s">
        <v>5</v>
      </c>
      <c r="J2" s="745"/>
      <c r="K2" s="745"/>
      <c r="L2" s="745"/>
      <c r="M2" s="745"/>
      <c r="N2" s="745"/>
      <c r="O2" s="745"/>
      <c r="P2" s="745"/>
      <c r="Q2" s="745"/>
      <c r="R2" s="745"/>
      <c r="S2" s="745"/>
      <c r="T2" s="745"/>
      <c r="U2" s="745"/>
      <c r="V2" s="745"/>
      <c r="W2" s="745"/>
      <c r="X2" s="745"/>
      <c r="Y2" s="745"/>
      <c r="Z2" s="745"/>
      <c r="AA2" s="745"/>
      <c r="AB2" s="745"/>
      <c r="AC2" s="745"/>
      <c r="AD2" s="745"/>
    </row>
    <row r="3" spans="1:30" ht="15">
      <c r="A3" s="749" t="s">
        <v>6</v>
      </c>
      <c r="B3" s="749"/>
      <c r="C3" s="745" t="s">
        <v>1438</v>
      </c>
      <c r="D3" s="745"/>
      <c r="E3" s="745"/>
      <c r="F3" s="745"/>
      <c r="G3" s="749" t="s">
        <v>8</v>
      </c>
      <c r="H3" s="749"/>
      <c r="I3" s="752">
        <v>43374</v>
      </c>
      <c r="J3" s="745"/>
      <c r="K3" s="745"/>
      <c r="L3" s="745"/>
      <c r="M3" s="745"/>
      <c r="N3" s="745"/>
      <c r="O3" s="749" t="s">
        <v>9</v>
      </c>
      <c r="P3" s="749"/>
      <c r="Q3" s="752">
        <v>44734</v>
      </c>
      <c r="R3" s="752"/>
      <c r="S3" s="752"/>
      <c r="T3" s="752"/>
      <c r="U3" s="752"/>
      <c r="V3" s="752"/>
      <c r="W3" s="749" t="s">
        <v>10</v>
      </c>
      <c r="X3" s="749"/>
      <c r="Y3" s="326"/>
      <c r="Z3" s="745"/>
      <c r="AA3" s="745"/>
      <c r="AB3" s="745"/>
      <c r="AC3" s="745"/>
      <c r="AD3" s="745"/>
    </row>
    <row r="4" spans="1:30" ht="40.5" customHeight="1">
      <c r="A4" s="749" t="s">
        <v>12</v>
      </c>
      <c r="B4" s="749"/>
      <c r="C4" s="745" t="s">
        <v>1439</v>
      </c>
      <c r="D4" s="745"/>
      <c r="E4" s="745"/>
      <c r="F4" s="745"/>
      <c r="G4" s="749" t="s">
        <v>14</v>
      </c>
      <c r="H4" s="749"/>
      <c r="I4" s="752">
        <v>44165</v>
      </c>
      <c r="J4" s="752"/>
      <c r="K4" s="752"/>
      <c r="L4" s="752"/>
      <c r="M4" s="752"/>
      <c r="N4" s="752"/>
      <c r="O4" s="749" t="s">
        <v>15</v>
      </c>
      <c r="P4" s="749"/>
      <c r="Q4" s="745" t="s">
        <v>1440</v>
      </c>
      <c r="R4" s="745"/>
      <c r="S4" s="745"/>
      <c r="T4" s="749" t="s">
        <v>17</v>
      </c>
      <c r="U4" s="749"/>
      <c r="V4" s="779" t="s">
        <v>1441</v>
      </c>
      <c r="W4" s="779"/>
      <c r="X4" s="779"/>
      <c r="Y4" s="779"/>
      <c r="Z4" s="745"/>
      <c r="AA4" s="745"/>
      <c r="AB4" s="745"/>
      <c r="AC4" s="745"/>
      <c r="AD4" s="745"/>
    </row>
    <row r="5" spans="1:30" ht="36" customHeight="1" thickBot="1">
      <c r="A5" s="746" t="s">
        <v>18</v>
      </c>
      <c r="B5" s="746"/>
      <c r="C5" s="746"/>
      <c r="D5" s="746"/>
      <c r="E5" s="746"/>
      <c r="F5" s="746"/>
      <c r="G5" s="746"/>
      <c r="H5" s="746"/>
      <c r="I5" s="746"/>
      <c r="J5" s="746"/>
      <c r="K5" s="746"/>
      <c r="L5" s="746"/>
      <c r="M5" s="746"/>
      <c r="N5" s="746"/>
      <c r="O5" s="747" t="s">
        <v>19</v>
      </c>
      <c r="P5" s="747"/>
      <c r="Q5" s="747"/>
      <c r="R5" s="747"/>
      <c r="S5" s="747"/>
      <c r="T5" s="747"/>
      <c r="U5" s="747"/>
      <c r="V5" s="747"/>
      <c r="W5" s="747"/>
      <c r="X5" s="747"/>
      <c r="Y5" s="747"/>
      <c r="Z5" s="748" t="s">
        <v>20</v>
      </c>
      <c r="AA5" s="748"/>
      <c r="AB5" s="748"/>
      <c r="AC5" s="748"/>
      <c r="AD5" s="748"/>
    </row>
    <row r="6" spans="1:30" ht="75.75" thickBot="1">
      <c r="A6" s="327" t="s">
        <v>21</v>
      </c>
      <c r="B6" s="327" t="s">
        <v>22</v>
      </c>
      <c r="C6" s="327" t="s">
        <v>770</v>
      </c>
      <c r="D6" s="327" t="s">
        <v>24</v>
      </c>
      <c r="E6" s="327" t="s">
        <v>25</v>
      </c>
      <c r="F6" s="327" t="s">
        <v>26</v>
      </c>
      <c r="G6" s="327" t="s">
        <v>27</v>
      </c>
      <c r="H6" s="327" t="s">
        <v>28</v>
      </c>
      <c r="I6" s="327" t="s">
        <v>29</v>
      </c>
      <c r="J6" s="327" t="s">
        <v>30</v>
      </c>
      <c r="K6" s="327" t="s">
        <v>31</v>
      </c>
      <c r="L6" s="327" t="s">
        <v>32</v>
      </c>
      <c r="M6" s="327" t="s">
        <v>33</v>
      </c>
      <c r="N6" s="327" t="s">
        <v>34</v>
      </c>
      <c r="O6" s="328" t="s">
        <v>35</v>
      </c>
      <c r="P6" s="328" t="s">
        <v>36</v>
      </c>
      <c r="Q6" s="328" t="s">
        <v>37</v>
      </c>
      <c r="R6" s="328" t="s">
        <v>38</v>
      </c>
      <c r="S6" s="328" t="s">
        <v>39</v>
      </c>
      <c r="T6" s="328" t="s">
        <v>40</v>
      </c>
      <c r="U6" s="328" t="s">
        <v>41</v>
      </c>
      <c r="V6" s="328" t="s">
        <v>42</v>
      </c>
      <c r="W6" s="328" t="s">
        <v>43</v>
      </c>
      <c r="X6" s="328" t="s">
        <v>44</v>
      </c>
      <c r="Y6" s="328" t="s">
        <v>45</v>
      </c>
      <c r="Z6" s="329" t="s">
        <v>46</v>
      </c>
      <c r="AA6" s="329" t="s">
        <v>771</v>
      </c>
      <c r="AB6" s="329" t="s">
        <v>48</v>
      </c>
      <c r="AC6" s="329" t="s">
        <v>49</v>
      </c>
      <c r="AD6" s="329" t="s">
        <v>50</v>
      </c>
    </row>
    <row r="7" spans="1:30" ht="143.25" customHeight="1" thickBot="1">
      <c r="A7" s="292" t="s">
        <v>341</v>
      </c>
      <c r="B7" s="292" t="s">
        <v>583</v>
      </c>
      <c r="C7" s="330" t="s">
        <v>1442</v>
      </c>
      <c r="D7" s="330" t="s">
        <v>1443</v>
      </c>
      <c r="E7" s="330" t="s">
        <v>1444</v>
      </c>
      <c r="F7" s="330" t="s">
        <v>1445</v>
      </c>
      <c r="G7" s="331" t="s">
        <v>1446</v>
      </c>
      <c r="H7" s="332">
        <v>1</v>
      </c>
      <c r="I7" s="333" t="s">
        <v>1447</v>
      </c>
      <c r="J7" s="334" t="s">
        <v>600</v>
      </c>
      <c r="K7" s="334" t="s">
        <v>778</v>
      </c>
      <c r="L7" s="159" t="s">
        <v>1448</v>
      </c>
      <c r="M7" s="335">
        <v>43374</v>
      </c>
      <c r="N7" s="335">
        <v>43465</v>
      </c>
      <c r="O7" s="336">
        <f>(N7-M7)/7</f>
        <v>13</v>
      </c>
      <c r="P7" s="159">
        <v>43564</v>
      </c>
      <c r="Q7" s="337">
        <v>43419</v>
      </c>
      <c r="R7" s="338">
        <f t="shared" ref="R7:R15" si="0">(Q7-M7)/7-O7</f>
        <v>-6.5714285714285712</v>
      </c>
      <c r="S7" s="339" t="str">
        <f ca="1">IF((N7-TODAY())/7&gt;=0,"En tiempo","Alerta")</f>
        <v>Alerta</v>
      </c>
      <c r="T7" s="340">
        <v>1</v>
      </c>
      <c r="U7" s="190">
        <f>IF(T7/H7=1,1,+T7/H7)</f>
        <v>1</v>
      </c>
      <c r="V7" s="341" t="str">
        <f>IF(R7&gt;O7,0%,IF(R7&lt;=0,"100%",1-(R7/O7)))</f>
        <v>100%</v>
      </c>
      <c r="W7" s="342" t="str">
        <f>IF(Q7&lt;=N7,"Cumple","Incumple")</f>
        <v>Cumple</v>
      </c>
      <c r="X7" s="343" t="s">
        <v>1449</v>
      </c>
      <c r="Y7" s="344" t="s">
        <v>1450</v>
      </c>
      <c r="Z7" s="341">
        <f>(U7+V7)/2</f>
        <v>1</v>
      </c>
      <c r="AA7" s="345">
        <v>1</v>
      </c>
      <c r="AB7" s="345">
        <v>1</v>
      </c>
      <c r="AC7" s="346">
        <f t="shared" ref="AC7:AC28" si="1">AVERAGE(Z7:AB7)</f>
        <v>1</v>
      </c>
      <c r="AD7" s="347" t="s">
        <v>1451</v>
      </c>
    </row>
    <row r="8" spans="1:30" ht="404.25" customHeight="1" thickBot="1">
      <c r="A8" s="292" t="s">
        <v>341</v>
      </c>
      <c r="B8" s="292" t="s">
        <v>583</v>
      </c>
      <c r="C8" s="330" t="s">
        <v>1442</v>
      </c>
      <c r="D8" s="330" t="s">
        <v>1443</v>
      </c>
      <c r="E8" s="330" t="s">
        <v>1444</v>
      </c>
      <c r="F8" s="330" t="s">
        <v>1452</v>
      </c>
      <c r="G8" s="331" t="s">
        <v>1453</v>
      </c>
      <c r="H8" s="332">
        <v>3</v>
      </c>
      <c r="I8" s="333" t="s">
        <v>1454</v>
      </c>
      <c r="J8" s="334" t="s">
        <v>600</v>
      </c>
      <c r="K8" s="334" t="s">
        <v>591</v>
      </c>
      <c r="L8" s="159" t="s">
        <v>1455</v>
      </c>
      <c r="M8" s="335">
        <v>43374</v>
      </c>
      <c r="N8" s="335">
        <v>43554</v>
      </c>
      <c r="O8" s="336">
        <f t="shared" ref="O8:O28" si="2">(N8-M8)/7</f>
        <v>25.714285714285715</v>
      </c>
      <c r="P8" s="159">
        <v>43564</v>
      </c>
      <c r="Q8" s="337">
        <v>43564</v>
      </c>
      <c r="R8" s="338">
        <f t="shared" si="0"/>
        <v>1.428571428571427</v>
      </c>
      <c r="S8" s="339" t="str">
        <f t="shared" ref="S8:S14" ca="1" si="3">IF((N8-TODAY())/7&gt;=0,"En tiempo","Alerta")</f>
        <v>Alerta</v>
      </c>
      <c r="T8" s="340">
        <v>3</v>
      </c>
      <c r="U8" s="190">
        <f t="shared" ref="U8:U28" si="4">IF(T8/H8=1,1,+T8/H8)</f>
        <v>1</v>
      </c>
      <c r="V8" s="341">
        <f t="shared" ref="V8:V14" si="5">IF(R8&gt;O8,0%,IF(R8&lt;=0,"100%",1-(R8/O8)))</f>
        <v>0.94444444444444453</v>
      </c>
      <c r="W8" s="342" t="str">
        <f t="shared" ref="W8:W28" si="6">IF(Q8&lt;=N8,"Cumple","Incumple")</f>
        <v>Incumple</v>
      </c>
      <c r="X8" s="343" t="s">
        <v>1456</v>
      </c>
      <c r="Y8" s="344" t="s">
        <v>1457</v>
      </c>
      <c r="Z8" s="341">
        <f t="shared" ref="Z8:Z26" si="7">(U8+V8)/2</f>
        <v>0.97222222222222232</v>
      </c>
      <c r="AA8" s="345">
        <v>1</v>
      </c>
      <c r="AB8" s="345">
        <v>1</v>
      </c>
      <c r="AC8" s="346">
        <f t="shared" si="1"/>
        <v>0.99074074074074081</v>
      </c>
      <c r="AD8" s="347" t="s">
        <v>1458</v>
      </c>
    </row>
    <row r="9" spans="1:30" ht="159.75" customHeight="1" thickBot="1">
      <c r="A9" s="292" t="s">
        <v>341</v>
      </c>
      <c r="B9" s="292" t="s">
        <v>583</v>
      </c>
      <c r="C9" s="330" t="s">
        <v>1442</v>
      </c>
      <c r="D9" s="330" t="s">
        <v>1459</v>
      </c>
      <c r="E9" s="330" t="s">
        <v>1460</v>
      </c>
      <c r="F9" s="330" t="s">
        <v>1461</v>
      </c>
      <c r="G9" s="331" t="s">
        <v>1462</v>
      </c>
      <c r="H9" s="332">
        <v>1</v>
      </c>
      <c r="I9" s="333" t="s">
        <v>1463</v>
      </c>
      <c r="J9" s="334" t="s">
        <v>600</v>
      </c>
      <c r="K9" s="334" t="s">
        <v>778</v>
      </c>
      <c r="L9" s="334" t="s">
        <v>1448</v>
      </c>
      <c r="M9" s="335">
        <v>43374</v>
      </c>
      <c r="N9" s="335">
        <v>43830</v>
      </c>
      <c r="O9" s="336">
        <f t="shared" si="2"/>
        <v>65.142857142857139</v>
      </c>
      <c r="P9" s="159">
        <v>43564</v>
      </c>
      <c r="Q9" s="337">
        <v>43815</v>
      </c>
      <c r="R9" s="338">
        <f t="shared" si="0"/>
        <v>-2.1428571428571388</v>
      </c>
      <c r="S9" s="339" t="str">
        <f t="shared" ca="1" si="3"/>
        <v>Alerta</v>
      </c>
      <c r="T9" s="340">
        <v>1</v>
      </c>
      <c r="U9" s="190">
        <f t="shared" si="4"/>
        <v>1</v>
      </c>
      <c r="V9" s="341" t="str">
        <f t="shared" si="5"/>
        <v>100%</v>
      </c>
      <c r="W9" s="342" t="str">
        <f t="shared" si="6"/>
        <v>Cumple</v>
      </c>
      <c r="X9" s="343" t="s">
        <v>1464</v>
      </c>
      <c r="Y9" s="344" t="s">
        <v>1465</v>
      </c>
      <c r="Z9" s="341">
        <f t="shared" si="7"/>
        <v>1</v>
      </c>
      <c r="AA9" s="345">
        <v>1</v>
      </c>
      <c r="AB9" s="345">
        <v>1</v>
      </c>
      <c r="AC9" s="346">
        <f t="shared" si="1"/>
        <v>1</v>
      </c>
      <c r="AD9" s="347" t="s">
        <v>1466</v>
      </c>
    </row>
    <row r="10" spans="1:30" ht="170.25" customHeight="1" thickBot="1">
      <c r="A10" s="292" t="s">
        <v>341</v>
      </c>
      <c r="B10" s="292" t="s">
        <v>583</v>
      </c>
      <c r="C10" s="330" t="s">
        <v>1442</v>
      </c>
      <c r="D10" s="330" t="s">
        <v>1459</v>
      </c>
      <c r="E10" s="330" t="s">
        <v>1460</v>
      </c>
      <c r="F10" s="330" t="s">
        <v>1467</v>
      </c>
      <c r="G10" s="331" t="s">
        <v>1462</v>
      </c>
      <c r="H10" s="332">
        <v>2</v>
      </c>
      <c r="I10" s="333" t="s">
        <v>1463</v>
      </c>
      <c r="J10" s="334" t="s">
        <v>600</v>
      </c>
      <c r="K10" s="334" t="s">
        <v>778</v>
      </c>
      <c r="L10" s="334" t="s">
        <v>1448</v>
      </c>
      <c r="M10" s="335">
        <v>43375</v>
      </c>
      <c r="N10" s="335">
        <v>43831</v>
      </c>
      <c r="O10" s="336">
        <f t="shared" si="2"/>
        <v>65.142857142857139</v>
      </c>
      <c r="P10" s="159">
        <v>43564</v>
      </c>
      <c r="Q10" s="337">
        <v>43564</v>
      </c>
      <c r="R10" s="338">
        <f t="shared" si="0"/>
        <v>-38.142857142857139</v>
      </c>
      <c r="S10" s="339" t="str">
        <f t="shared" ca="1" si="3"/>
        <v>Alerta</v>
      </c>
      <c r="T10" s="340">
        <v>2</v>
      </c>
      <c r="U10" s="190">
        <f t="shared" si="4"/>
        <v>1</v>
      </c>
      <c r="V10" s="341" t="str">
        <f t="shared" si="5"/>
        <v>100%</v>
      </c>
      <c r="W10" s="342" t="str">
        <f t="shared" si="6"/>
        <v>Cumple</v>
      </c>
      <c r="X10" s="343" t="s">
        <v>1468</v>
      </c>
      <c r="Y10" s="344" t="s">
        <v>1469</v>
      </c>
      <c r="Z10" s="341">
        <f t="shared" si="7"/>
        <v>1</v>
      </c>
      <c r="AA10" s="345">
        <v>1</v>
      </c>
      <c r="AB10" s="345">
        <v>1</v>
      </c>
      <c r="AC10" s="346">
        <f t="shared" si="1"/>
        <v>1</v>
      </c>
      <c r="AD10" s="347" t="s">
        <v>1466</v>
      </c>
    </row>
    <row r="11" spans="1:30" ht="241.5" customHeight="1" thickBot="1">
      <c r="A11" s="292" t="s">
        <v>341</v>
      </c>
      <c r="B11" s="292" t="s">
        <v>583</v>
      </c>
      <c r="C11" s="330" t="s">
        <v>1442</v>
      </c>
      <c r="D11" s="330" t="s">
        <v>1470</v>
      </c>
      <c r="E11" s="330" t="s">
        <v>1460</v>
      </c>
      <c r="F11" s="330" t="s">
        <v>1471</v>
      </c>
      <c r="G11" s="331" t="s">
        <v>1462</v>
      </c>
      <c r="H11" s="332">
        <v>1</v>
      </c>
      <c r="I11" s="333" t="s">
        <v>1463</v>
      </c>
      <c r="J11" s="334" t="s">
        <v>600</v>
      </c>
      <c r="K11" s="334" t="s">
        <v>778</v>
      </c>
      <c r="L11" s="334" t="s">
        <v>1448</v>
      </c>
      <c r="M11" s="335">
        <v>43376</v>
      </c>
      <c r="N11" s="335">
        <v>43832</v>
      </c>
      <c r="O11" s="336">
        <f t="shared" si="2"/>
        <v>65.142857142857139</v>
      </c>
      <c r="P11" s="159">
        <v>43564</v>
      </c>
      <c r="Q11" s="337">
        <v>43564</v>
      </c>
      <c r="R11" s="338">
        <f t="shared" si="0"/>
        <v>-38.285714285714278</v>
      </c>
      <c r="S11" s="339" t="str">
        <f t="shared" ca="1" si="3"/>
        <v>Alerta</v>
      </c>
      <c r="T11" s="340">
        <v>1</v>
      </c>
      <c r="U11" s="190">
        <f t="shared" si="4"/>
        <v>1</v>
      </c>
      <c r="V11" s="341" t="str">
        <f t="shared" si="5"/>
        <v>100%</v>
      </c>
      <c r="W11" s="342" t="str">
        <f t="shared" si="6"/>
        <v>Cumple</v>
      </c>
      <c r="X11" s="343" t="s">
        <v>1468</v>
      </c>
      <c r="Y11" s="344" t="s">
        <v>1472</v>
      </c>
      <c r="Z11" s="341">
        <f t="shared" si="7"/>
        <v>1</v>
      </c>
      <c r="AA11" s="345">
        <v>1</v>
      </c>
      <c r="AB11" s="345">
        <v>1</v>
      </c>
      <c r="AC11" s="346">
        <f t="shared" si="1"/>
        <v>1</v>
      </c>
      <c r="AD11" s="347" t="s">
        <v>1473</v>
      </c>
    </row>
    <row r="12" spans="1:30" ht="152.25" customHeight="1" thickBot="1">
      <c r="A12" s="292" t="s">
        <v>341</v>
      </c>
      <c r="B12" s="292" t="s">
        <v>583</v>
      </c>
      <c r="C12" s="330" t="s">
        <v>1442</v>
      </c>
      <c r="D12" s="330" t="s">
        <v>1474</v>
      </c>
      <c r="E12" s="330" t="s">
        <v>1460</v>
      </c>
      <c r="F12" s="330" t="s">
        <v>1475</v>
      </c>
      <c r="G12" s="331" t="s">
        <v>1462</v>
      </c>
      <c r="H12" s="332">
        <v>1</v>
      </c>
      <c r="I12" s="333" t="s">
        <v>1463</v>
      </c>
      <c r="J12" s="334" t="s">
        <v>600</v>
      </c>
      <c r="K12" s="334" t="s">
        <v>778</v>
      </c>
      <c r="L12" s="334" t="s">
        <v>1448</v>
      </c>
      <c r="M12" s="335">
        <v>43377</v>
      </c>
      <c r="N12" s="335">
        <v>43833</v>
      </c>
      <c r="O12" s="336">
        <f t="shared" si="2"/>
        <v>65.142857142857139</v>
      </c>
      <c r="P12" s="159">
        <v>43564</v>
      </c>
      <c r="Q12" s="337">
        <v>43564</v>
      </c>
      <c r="R12" s="338">
        <f t="shared" si="0"/>
        <v>-38.428571428571423</v>
      </c>
      <c r="S12" s="339" t="str">
        <f t="shared" ca="1" si="3"/>
        <v>Alerta</v>
      </c>
      <c r="T12" s="340">
        <v>1</v>
      </c>
      <c r="U12" s="190">
        <f t="shared" si="4"/>
        <v>1</v>
      </c>
      <c r="V12" s="341" t="str">
        <f t="shared" si="5"/>
        <v>100%</v>
      </c>
      <c r="W12" s="342" t="str">
        <f t="shared" si="6"/>
        <v>Cumple</v>
      </c>
      <c r="X12" s="343" t="s">
        <v>1468</v>
      </c>
      <c r="Y12" s="344" t="s">
        <v>1476</v>
      </c>
      <c r="Z12" s="341">
        <f t="shared" si="7"/>
        <v>1</v>
      </c>
      <c r="AA12" s="345">
        <v>1</v>
      </c>
      <c r="AB12" s="345">
        <v>1</v>
      </c>
      <c r="AC12" s="346">
        <f t="shared" si="1"/>
        <v>1</v>
      </c>
      <c r="AD12" s="347" t="s">
        <v>1477</v>
      </c>
    </row>
    <row r="13" spans="1:30" ht="114.75" thickBot="1">
      <c r="A13" s="292" t="s">
        <v>341</v>
      </c>
      <c r="B13" s="292" t="s">
        <v>583</v>
      </c>
      <c r="C13" s="331" t="s">
        <v>1478</v>
      </c>
      <c r="D13" s="331" t="s">
        <v>1479</v>
      </c>
      <c r="E13" s="331" t="s">
        <v>1480</v>
      </c>
      <c r="F13" s="330" t="s">
        <v>1481</v>
      </c>
      <c r="G13" s="332" t="s">
        <v>1482</v>
      </c>
      <c r="H13" s="332">
        <v>4</v>
      </c>
      <c r="I13" s="333" t="s">
        <v>1483</v>
      </c>
      <c r="J13" s="334" t="s">
        <v>610</v>
      </c>
      <c r="K13" s="334" t="s">
        <v>778</v>
      </c>
      <c r="L13" s="334" t="s">
        <v>1484</v>
      </c>
      <c r="M13" s="335">
        <v>43405</v>
      </c>
      <c r="N13" s="335">
        <v>43983</v>
      </c>
      <c r="O13" s="336">
        <f t="shared" si="2"/>
        <v>82.571428571428569</v>
      </c>
      <c r="P13" s="159">
        <v>44165</v>
      </c>
      <c r="Q13" s="337">
        <v>44165</v>
      </c>
      <c r="R13" s="338">
        <f t="shared" si="0"/>
        <v>26</v>
      </c>
      <c r="S13" s="339" t="str">
        <f t="shared" ca="1" si="3"/>
        <v>Alerta</v>
      </c>
      <c r="T13" s="340">
        <v>4</v>
      </c>
      <c r="U13" s="190">
        <f t="shared" si="4"/>
        <v>1</v>
      </c>
      <c r="V13" s="341">
        <f t="shared" si="5"/>
        <v>0.68512110726643605</v>
      </c>
      <c r="W13" s="342" t="str">
        <f t="shared" si="6"/>
        <v>Incumple</v>
      </c>
      <c r="X13" s="335" t="s">
        <v>1485</v>
      </c>
      <c r="Y13" s="344" t="s">
        <v>1486</v>
      </c>
      <c r="Z13" s="341">
        <f t="shared" si="7"/>
        <v>0.84256055363321802</v>
      </c>
      <c r="AA13" s="345">
        <v>1</v>
      </c>
      <c r="AB13" s="345">
        <v>1</v>
      </c>
      <c r="AC13" s="346">
        <f t="shared" si="1"/>
        <v>0.94752018454440601</v>
      </c>
      <c r="AD13" s="347" t="s">
        <v>1487</v>
      </c>
    </row>
    <row r="14" spans="1:30" ht="252" customHeight="1" thickBot="1">
      <c r="A14" s="292" t="s">
        <v>341</v>
      </c>
      <c r="B14" s="292" t="s">
        <v>583</v>
      </c>
      <c r="C14" s="331" t="s">
        <v>1478</v>
      </c>
      <c r="D14" s="331" t="s">
        <v>1479</v>
      </c>
      <c r="E14" s="331" t="s">
        <v>1480</v>
      </c>
      <c r="F14" s="331" t="s">
        <v>1488</v>
      </c>
      <c r="G14" s="332"/>
      <c r="H14" s="332">
        <v>2</v>
      </c>
      <c r="I14" s="333" t="s">
        <v>1483</v>
      </c>
      <c r="J14" s="334" t="s">
        <v>610</v>
      </c>
      <c r="K14" s="334" t="s">
        <v>778</v>
      </c>
      <c r="L14" s="334" t="s">
        <v>1484</v>
      </c>
      <c r="M14" s="335">
        <v>43406</v>
      </c>
      <c r="N14" s="335">
        <v>43984</v>
      </c>
      <c r="O14" s="336">
        <f t="shared" si="2"/>
        <v>82.571428571428569</v>
      </c>
      <c r="P14" s="159">
        <v>44165</v>
      </c>
      <c r="Q14" s="335">
        <v>44165</v>
      </c>
      <c r="R14" s="338">
        <f t="shared" si="0"/>
        <v>25.857142857142861</v>
      </c>
      <c r="S14" s="339" t="str">
        <f t="shared" ca="1" si="3"/>
        <v>Alerta</v>
      </c>
      <c r="T14" s="340">
        <v>2</v>
      </c>
      <c r="U14" s="190">
        <f t="shared" si="4"/>
        <v>1</v>
      </c>
      <c r="V14" s="341">
        <f t="shared" si="5"/>
        <v>0.68685121107266434</v>
      </c>
      <c r="W14" s="342" t="str">
        <f t="shared" si="6"/>
        <v>Incumple</v>
      </c>
      <c r="X14" s="335" t="s">
        <v>1489</v>
      </c>
      <c r="Y14" s="344" t="s">
        <v>1490</v>
      </c>
      <c r="Z14" s="341">
        <f t="shared" si="7"/>
        <v>0.84342560553633217</v>
      </c>
      <c r="AA14" s="345">
        <v>1</v>
      </c>
      <c r="AB14" s="345">
        <v>1</v>
      </c>
      <c r="AC14" s="346">
        <f t="shared" si="1"/>
        <v>0.94780853517877739</v>
      </c>
      <c r="AD14" s="347" t="s">
        <v>1491</v>
      </c>
    </row>
    <row r="15" spans="1:30" ht="133.5" customHeight="1" thickBot="1">
      <c r="A15" s="292" t="s">
        <v>341</v>
      </c>
      <c r="B15" s="292" t="s">
        <v>583</v>
      </c>
      <c r="C15" s="331" t="s">
        <v>1478</v>
      </c>
      <c r="D15" s="331" t="s">
        <v>1479</v>
      </c>
      <c r="E15" s="331" t="s">
        <v>1480</v>
      </c>
      <c r="F15" s="330" t="s">
        <v>1492</v>
      </c>
      <c r="G15" s="332"/>
      <c r="H15" s="332">
        <v>1</v>
      </c>
      <c r="I15" s="333" t="s">
        <v>1483</v>
      </c>
      <c r="J15" s="334" t="s">
        <v>610</v>
      </c>
      <c r="K15" s="334" t="s">
        <v>778</v>
      </c>
      <c r="L15" s="334" t="s">
        <v>1484</v>
      </c>
      <c r="M15" s="335">
        <v>43407</v>
      </c>
      <c r="N15" s="335">
        <v>43985</v>
      </c>
      <c r="O15" s="336">
        <f t="shared" si="2"/>
        <v>82.571428571428569</v>
      </c>
      <c r="P15" s="159">
        <v>44165</v>
      </c>
      <c r="Q15" s="337">
        <v>44165</v>
      </c>
      <c r="R15" s="338">
        <f t="shared" si="0"/>
        <v>25.714285714285722</v>
      </c>
      <c r="S15" s="339" t="str">
        <f ca="1">IF((N15-TODAY())/7&gt;=0,"En tiempo","Alerta")</f>
        <v>Alerta</v>
      </c>
      <c r="T15" s="340">
        <v>1</v>
      </c>
      <c r="U15" s="190">
        <f t="shared" si="4"/>
        <v>1</v>
      </c>
      <c r="V15" s="341">
        <f>IF(R15&gt;O15,0%,IF(R15&lt;=0,"100%",1-(R15/O15)))</f>
        <v>0.68858131487889263</v>
      </c>
      <c r="W15" s="342" t="str">
        <f t="shared" si="6"/>
        <v>Incumple</v>
      </c>
      <c r="X15" s="348" t="s">
        <v>1493</v>
      </c>
      <c r="Y15" s="344" t="s">
        <v>1494</v>
      </c>
      <c r="Z15" s="341">
        <f t="shared" si="7"/>
        <v>0.84429065743944631</v>
      </c>
      <c r="AA15" s="345">
        <v>1</v>
      </c>
      <c r="AB15" s="345">
        <v>1</v>
      </c>
      <c r="AC15" s="346">
        <f t="shared" si="1"/>
        <v>0.94809688581314877</v>
      </c>
      <c r="AD15" s="347" t="s">
        <v>1495</v>
      </c>
    </row>
    <row r="16" spans="1:30" ht="242.25">
      <c r="A16" s="292" t="s">
        <v>341</v>
      </c>
      <c r="B16" s="292" t="s">
        <v>583</v>
      </c>
      <c r="C16" s="331" t="s">
        <v>1478</v>
      </c>
      <c r="D16" s="331" t="s">
        <v>1496</v>
      </c>
      <c r="E16" s="331" t="s">
        <v>1497</v>
      </c>
      <c r="F16" s="331" t="s">
        <v>1498</v>
      </c>
      <c r="G16" s="332"/>
      <c r="H16" s="332">
        <v>4</v>
      </c>
      <c r="I16" s="333" t="s">
        <v>1483</v>
      </c>
      <c r="J16" s="334" t="s">
        <v>610</v>
      </c>
      <c r="K16" s="334" t="s">
        <v>778</v>
      </c>
      <c r="L16" s="334" t="s">
        <v>1484</v>
      </c>
      <c r="M16" s="335">
        <v>43408</v>
      </c>
      <c r="N16" s="335">
        <v>43986</v>
      </c>
      <c r="O16" s="336">
        <f t="shared" si="2"/>
        <v>82.571428571428569</v>
      </c>
      <c r="P16" s="159">
        <v>45271</v>
      </c>
      <c r="Q16" s="549">
        <f>P16</f>
        <v>45271</v>
      </c>
      <c r="R16" s="338">
        <f>(P16-M16)/7-O16</f>
        <v>183.57142857142861</v>
      </c>
      <c r="S16" s="339" t="str">
        <f t="shared" ref="S16:S28" ca="1" si="8">IF((N16-TODAY())/7&gt;=0,"En tiempo","Alerta")</f>
        <v>Alerta</v>
      </c>
      <c r="T16" s="340">
        <v>3.2</v>
      </c>
      <c r="U16" s="190">
        <f t="shared" si="4"/>
        <v>0.8</v>
      </c>
      <c r="V16" s="341">
        <f t="shared" ref="V16:V28" si="9">IF(R16&gt;O16,0%,IF(R16&lt;=0,"100%",1-(R16/O16)))</f>
        <v>0</v>
      </c>
      <c r="W16" s="342" t="str">
        <f>IF(Q16&lt;=N16,"Cumple","Incumple")</f>
        <v>Incumple</v>
      </c>
      <c r="X16" s="348" t="s">
        <v>1499</v>
      </c>
      <c r="Y16" s="349" t="s">
        <v>1500</v>
      </c>
      <c r="Z16" s="341">
        <f>(U16+V16)/2</f>
        <v>0.4</v>
      </c>
      <c r="AA16" s="345"/>
      <c r="AB16" s="345"/>
      <c r="AC16" s="346">
        <f t="shared" si="1"/>
        <v>0.4</v>
      </c>
      <c r="AD16" s="347" t="s">
        <v>1501</v>
      </c>
    </row>
    <row r="17" spans="1:30" ht="116.25" thickBot="1">
      <c r="A17" s="292" t="s">
        <v>341</v>
      </c>
      <c r="B17" s="292" t="s">
        <v>583</v>
      </c>
      <c r="C17" s="330" t="s">
        <v>1502</v>
      </c>
      <c r="D17" s="332" t="s">
        <v>1503</v>
      </c>
      <c r="E17" s="331" t="s">
        <v>1504</v>
      </c>
      <c r="F17" s="331" t="s">
        <v>1505</v>
      </c>
      <c r="G17" s="332" t="s">
        <v>1506</v>
      </c>
      <c r="H17" s="332">
        <v>1</v>
      </c>
      <c r="I17" s="333" t="s">
        <v>1483</v>
      </c>
      <c r="J17" s="334" t="s">
        <v>600</v>
      </c>
      <c r="K17" s="334" t="s">
        <v>778</v>
      </c>
      <c r="L17" s="334" t="s">
        <v>1507</v>
      </c>
      <c r="M17" s="335">
        <v>43739</v>
      </c>
      <c r="N17" s="335">
        <v>43768</v>
      </c>
      <c r="O17" s="336">
        <f t="shared" si="2"/>
        <v>4.1428571428571432</v>
      </c>
      <c r="P17" s="159">
        <v>44165</v>
      </c>
      <c r="Q17" s="337">
        <v>44165</v>
      </c>
      <c r="R17" s="338">
        <f>(Q17-M17)/7-O17</f>
        <v>56.714285714285708</v>
      </c>
      <c r="S17" s="339" t="str">
        <f t="shared" ca="1" si="8"/>
        <v>Alerta</v>
      </c>
      <c r="T17" s="340">
        <v>1</v>
      </c>
      <c r="U17" s="190">
        <f t="shared" si="4"/>
        <v>1</v>
      </c>
      <c r="V17" s="341">
        <f t="shared" si="9"/>
        <v>0</v>
      </c>
      <c r="W17" s="342" t="str">
        <f t="shared" si="6"/>
        <v>Incumple</v>
      </c>
      <c r="X17" s="350" t="s">
        <v>1508</v>
      </c>
      <c r="Y17" s="349" t="s">
        <v>1509</v>
      </c>
      <c r="Z17" s="341">
        <f>(U17+V17)/2</f>
        <v>0.5</v>
      </c>
      <c r="AA17" s="345">
        <v>0.75</v>
      </c>
      <c r="AB17" s="345">
        <v>0.5</v>
      </c>
      <c r="AC17" s="346">
        <f>AVERAGE(Z17:AB17)</f>
        <v>0.58333333333333337</v>
      </c>
      <c r="AD17" s="347" t="s">
        <v>1510</v>
      </c>
    </row>
    <row r="18" spans="1:30" ht="156.75">
      <c r="A18" s="292" t="s">
        <v>341</v>
      </c>
      <c r="B18" s="292" t="s">
        <v>583</v>
      </c>
      <c r="C18" s="330" t="s">
        <v>1502</v>
      </c>
      <c r="D18" s="332" t="s">
        <v>1503</v>
      </c>
      <c r="E18" s="331" t="s">
        <v>1504</v>
      </c>
      <c r="F18" s="331" t="s">
        <v>1511</v>
      </c>
      <c r="G18" s="332"/>
      <c r="H18" s="332">
        <v>1</v>
      </c>
      <c r="I18" s="333" t="s">
        <v>1483</v>
      </c>
      <c r="J18" s="334" t="s">
        <v>600</v>
      </c>
      <c r="K18" s="334" t="s">
        <v>778</v>
      </c>
      <c r="L18" s="334" t="s">
        <v>1507</v>
      </c>
      <c r="M18" s="335">
        <v>43740</v>
      </c>
      <c r="N18" s="335">
        <v>43769</v>
      </c>
      <c r="O18" s="336">
        <f t="shared" si="2"/>
        <v>4.1428571428571432</v>
      </c>
      <c r="P18" s="159">
        <v>45271</v>
      </c>
      <c r="Q18" s="550">
        <f>P18</f>
        <v>45271</v>
      </c>
      <c r="R18" s="338">
        <f>(P18-M18)/7-O18</f>
        <v>214.57142857142858</v>
      </c>
      <c r="S18" s="339" t="str">
        <f t="shared" ca="1" si="8"/>
        <v>Alerta</v>
      </c>
      <c r="T18" s="340">
        <v>0.9</v>
      </c>
      <c r="U18" s="190">
        <f t="shared" si="4"/>
        <v>0.9</v>
      </c>
      <c r="V18" s="341">
        <f t="shared" si="9"/>
        <v>0</v>
      </c>
      <c r="W18" s="342" t="str">
        <f t="shared" si="6"/>
        <v>Incumple</v>
      </c>
      <c r="X18" s="348" t="s">
        <v>1512</v>
      </c>
      <c r="Y18" s="349" t="s">
        <v>1513</v>
      </c>
      <c r="Z18" s="341">
        <f t="shared" si="7"/>
        <v>0.45</v>
      </c>
      <c r="AA18" s="345"/>
      <c r="AB18" s="345"/>
      <c r="AC18" s="346">
        <f>AVERAGE(Z18:AB18)</f>
        <v>0.45</v>
      </c>
      <c r="AD18" s="347" t="s">
        <v>1514</v>
      </c>
    </row>
    <row r="19" spans="1:30" ht="114.75" thickBot="1">
      <c r="A19" s="292" t="s">
        <v>341</v>
      </c>
      <c r="B19" s="292" t="s">
        <v>583</v>
      </c>
      <c r="C19" s="330" t="s">
        <v>1502</v>
      </c>
      <c r="D19" s="330" t="s">
        <v>1515</v>
      </c>
      <c r="E19" s="330" t="s">
        <v>1516</v>
      </c>
      <c r="F19" s="331" t="s">
        <v>1517</v>
      </c>
      <c r="G19" s="331" t="s">
        <v>1518</v>
      </c>
      <c r="H19" s="332">
        <v>1</v>
      </c>
      <c r="I19" s="333" t="s">
        <v>1519</v>
      </c>
      <c r="J19" s="334" t="s">
        <v>600</v>
      </c>
      <c r="K19" s="334" t="s">
        <v>778</v>
      </c>
      <c r="L19" s="334" t="s">
        <v>1520</v>
      </c>
      <c r="M19" s="335">
        <v>43374</v>
      </c>
      <c r="N19" s="335">
        <v>43768</v>
      </c>
      <c r="O19" s="336">
        <f t="shared" si="2"/>
        <v>56.285714285714285</v>
      </c>
      <c r="P19" s="159">
        <v>43564</v>
      </c>
      <c r="Q19" s="337">
        <v>43815</v>
      </c>
      <c r="R19" s="338">
        <f>(Q19-M19)/7-O19</f>
        <v>6.7142857142857153</v>
      </c>
      <c r="S19" s="339" t="str">
        <f t="shared" ca="1" si="8"/>
        <v>Alerta</v>
      </c>
      <c r="T19" s="340">
        <v>1</v>
      </c>
      <c r="U19" s="190">
        <f t="shared" si="4"/>
        <v>1</v>
      </c>
      <c r="V19" s="341">
        <f t="shared" si="9"/>
        <v>0.88071065989847708</v>
      </c>
      <c r="W19" s="342" t="str">
        <f t="shared" si="6"/>
        <v>Incumple</v>
      </c>
      <c r="X19" s="348" t="s">
        <v>1521</v>
      </c>
      <c r="Y19" s="344"/>
      <c r="Z19" s="341">
        <f t="shared" si="7"/>
        <v>0.94035532994923854</v>
      </c>
      <c r="AA19" s="345">
        <v>0.5</v>
      </c>
      <c r="AB19" s="345">
        <v>0.5</v>
      </c>
      <c r="AC19" s="346">
        <f t="shared" si="1"/>
        <v>0.64678510998307948</v>
      </c>
      <c r="AD19" s="347" t="s">
        <v>1522</v>
      </c>
    </row>
    <row r="20" spans="1:30" ht="114.75" thickBot="1">
      <c r="A20" s="292" t="s">
        <v>341</v>
      </c>
      <c r="B20" s="292" t="s">
        <v>583</v>
      </c>
      <c r="C20" s="330" t="s">
        <v>1502</v>
      </c>
      <c r="D20" s="330" t="s">
        <v>1515</v>
      </c>
      <c r="E20" s="330" t="s">
        <v>1516</v>
      </c>
      <c r="F20" s="331" t="s">
        <v>1523</v>
      </c>
      <c r="G20" s="331" t="s">
        <v>1518</v>
      </c>
      <c r="H20" s="332">
        <v>1</v>
      </c>
      <c r="I20" s="333" t="s">
        <v>1524</v>
      </c>
      <c r="J20" s="334" t="s">
        <v>600</v>
      </c>
      <c r="K20" s="334" t="s">
        <v>1525</v>
      </c>
      <c r="L20" s="334" t="s">
        <v>1520</v>
      </c>
      <c r="M20" s="335">
        <v>43375</v>
      </c>
      <c r="N20" s="335">
        <v>43769</v>
      </c>
      <c r="O20" s="336">
        <f t="shared" si="2"/>
        <v>56.285714285714285</v>
      </c>
      <c r="P20" s="159">
        <v>43565</v>
      </c>
      <c r="Q20" s="337">
        <v>43815</v>
      </c>
      <c r="R20" s="338">
        <f>(Q20-M20)/7-O20</f>
        <v>6.5714285714285694</v>
      </c>
      <c r="S20" s="339" t="str">
        <f t="shared" ca="1" si="8"/>
        <v>Alerta</v>
      </c>
      <c r="T20" s="340">
        <v>1</v>
      </c>
      <c r="U20" s="190">
        <f t="shared" si="4"/>
        <v>1</v>
      </c>
      <c r="V20" s="341">
        <f t="shared" si="9"/>
        <v>0.88324873096446699</v>
      </c>
      <c r="W20" s="342" t="str">
        <f t="shared" si="6"/>
        <v>Incumple</v>
      </c>
      <c r="X20" s="348" t="s">
        <v>1526</v>
      </c>
      <c r="Y20" s="349" t="s">
        <v>1527</v>
      </c>
      <c r="Z20" s="341">
        <f t="shared" si="7"/>
        <v>0.94162436548223349</v>
      </c>
      <c r="AA20" s="345">
        <v>0.5</v>
      </c>
      <c r="AB20" s="345">
        <v>0.5</v>
      </c>
      <c r="AC20" s="346">
        <f t="shared" si="1"/>
        <v>0.64720812182741116</v>
      </c>
      <c r="AD20" s="347" t="s">
        <v>1528</v>
      </c>
    </row>
    <row r="21" spans="1:30" ht="117" thickBot="1">
      <c r="A21" s="292" t="s">
        <v>341</v>
      </c>
      <c r="B21" s="292" t="s">
        <v>583</v>
      </c>
      <c r="C21" s="330" t="s">
        <v>1502</v>
      </c>
      <c r="D21" s="330" t="s">
        <v>1529</v>
      </c>
      <c r="E21" s="330" t="s">
        <v>1516</v>
      </c>
      <c r="F21" s="330" t="s">
        <v>1530</v>
      </c>
      <c r="G21" s="331" t="s">
        <v>1518</v>
      </c>
      <c r="H21" s="332">
        <v>1</v>
      </c>
      <c r="I21" s="334" t="s">
        <v>1531</v>
      </c>
      <c r="J21" s="334" t="s">
        <v>600</v>
      </c>
      <c r="K21" s="334" t="s">
        <v>1525</v>
      </c>
      <c r="L21" s="334" t="s">
        <v>1520</v>
      </c>
      <c r="M21" s="335">
        <v>43376</v>
      </c>
      <c r="N21" s="335">
        <v>43770</v>
      </c>
      <c r="O21" s="336">
        <f t="shared" si="2"/>
        <v>56.285714285714285</v>
      </c>
      <c r="P21" s="159">
        <v>44165</v>
      </c>
      <c r="Q21" s="337">
        <v>44165</v>
      </c>
      <c r="R21" s="338">
        <f>(Q21-M21)/7-O21</f>
        <v>56.428571428571423</v>
      </c>
      <c r="S21" s="339" t="str">
        <f t="shared" ca="1" si="8"/>
        <v>Alerta</v>
      </c>
      <c r="T21" s="340">
        <v>1</v>
      </c>
      <c r="U21" s="190">
        <f t="shared" si="4"/>
        <v>1</v>
      </c>
      <c r="V21" s="341">
        <f t="shared" si="9"/>
        <v>0</v>
      </c>
      <c r="W21" s="342" t="str">
        <f t="shared" si="6"/>
        <v>Incumple</v>
      </c>
      <c r="X21" s="351" t="s">
        <v>1532</v>
      </c>
      <c r="Y21" s="349"/>
      <c r="Z21" s="341">
        <f t="shared" si="7"/>
        <v>0.5</v>
      </c>
      <c r="AA21" s="345">
        <v>0.75</v>
      </c>
      <c r="AB21" s="345">
        <v>0.75</v>
      </c>
      <c r="AC21" s="346">
        <f t="shared" si="1"/>
        <v>0.66666666666666663</v>
      </c>
      <c r="AD21" s="347" t="s">
        <v>1533</v>
      </c>
    </row>
    <row r="22" spans="1:30" ht="142.5">
      <c r="A22" s="292" t="s">
        <v>341</v>
      </c>
      <c r="B22" s="292" t="s">
        <v>583</v>
      </c>
      <c r="C22" s="331" t="s">
        <v>1534</v>
      </c>
      <c r="D22" s="331" t="s">
        <v>1535</v>
      </c>
      <c r="E22" s="331" t="s">
        <v>1536</v>
      </c>
      <c r="F22" s="330" t="s">
        <v>1537</v>
      </c>
      <c r="G22" s="331" t="s">
        <v>1538</v>
      </c>
      <c r="H22" s="332">
        <v>1</v>
      </c>
      <c r="I22" s="334" t="s">
        <v>1524</v>
      </c>
      <c r="J22" s="334" t="s">
        <v>610</v>
      </c>
      <c r="K22" s="334" t="s">
        <v>778</v>
      </c>
      <c r="L22" s="334" t="s">
        <v>1539</v>
      </c>
      <c r="M22" s="335">
        <v>43374</v>
      </c>
      <c r="N22" s="335">
        <v>44185</v>
      </c>
      <c r="O22" s="336">
        <f t="shared" si="2"/>
        <v>115.85714285714286</v>
      </c>
      <c r="P22" s="159">
        <v>43564</v>
      </c>
      <c r="Q22" s="549">
        <f>P22</f>
        <v>43564</v>
      </c>
      <c r="R22" s="338">
        <f>(P22-M22)/7-O22</f>
        <v>-88.714285714285722</v>
      </c>
      <c r="S22" s="339" t="str">
        <f t="shared" ca="1" si="8"/>
        <v>Alerta</v>
      </c>
      <c r="T22" s="340">
        <v>0.9</v>
      </c>
      <c r="U22" s="190">
        <f t="shared" si="4"/>
        <v>0.9</v>
      </c>
      <c r="V22" s="341" t="str">
        <f t="shared" si="9"/>
        <v>100%</v>
      </c>
      <c r="W22" s="342" t="str">
        <f t="shared" si="6"/>
        <v>Cumple</v>
      </c>
      <c r="X22" s="348" t="s">
        <v>1540</v>
      </c>
      <c r="Y22" s="349" t="s">
        <v>1541</v>
      </c>
      <c r="Z22" s="341">
        <f t="shared" si="7"/>
        <v>0.95</v>
      </c>
      <c r="AA22" s="345">
        <v>1</v>
      </c>
      <c r="AB22" s="345">
        <v>0.75</v>
      </c>
      <c r="AC22" s="346">
        <f t="shared" si="1"/>
        <v>0.9</v>
      </c>
      <c r="AD22" s="347" t="s">
        <v>1542</v>
      </c>
    </row>
    <row r="23" spans="1:30" ht="213.75">
      <c r="A23" s="292" t="s">
        <v>341</v>
      </c>
      <c r="B23" s="292" t="s">
        <v>583</v>
      </c>
      <c r="C23" s="331" t="s">
        <v>1534</v>
      </c>
      <c r="D23" s="331" t="s">
        <v>1535</v>
      </c>
      <c r="E23" s="331" t="s">
        <v>1536</v>
      </c>
      <c r="F23" s="331" t="s">
        <v>1543</v>
      </c>
      <c r="G23" s="331" t="s">
        <v>1538</v>
      </c>
      <c r="H23" s="332">
        <v>1</v>
      </c>
      <c r="I23" s="334" t="s">
        <v>1524</v>
      </c>
      <c r="J23" s="334" t="s">
        <v>600</v>
      </c>
      <c r="K23" s="334" t="s">
        <v>778</v>
      </c>
      <c r="L23" s="334" t="s">
        <v>1539</v>
      </c>
      <c r="M23" s="335">
        <v>43375</v>
      </c>
      <c r="N23" s="335">
        <v>44186</v>
      </c>
      <c r="O23" s="336">
        <f t="shared" si="2"/>
        <v>115.85714285714286</v>
      </c>
      <c r="P23" s="159">
        <v>43565</v>
      </c>
      <c r="Q23" s="549">
        <f>P23</f>
        <v>43565</v>
      </c>
      <c r="R23" s="338">
        <f>(P23-M23)/7-O23</f>
        <v>-88.714285714285722</v>
      </c>
      <c r="S23" s="339" t="str">
        <f t="shared" ca="1" si="8"/>
        <v>Alerta</v>
      </c>
      <c r="T23" s="340">
        <v>0.9</v>
      </c>
      <c r="U23" s="190">
        <f t="shared" si="4"/>
        <v>0.9</v>
      </c>
      <c r="V23" s="341" t="str">
        <f t="shared" si="9"/>
        <v>100%</v>
      </c>
      <c r="W23" s="342" t="str">
        <f t="shared" si="6"/>
        <v>Cumple</v>
      </c>
      <c r="X23" s="348" t="s">
        <v>1544</v>
      </c>
      <c r="Y23" s="349" t="s">
        <v>1541</v>
      </c>
      <c r="Z23" s="341">
        <f t="shared" si="7"/>
        <v>0.95</v>
      </c>
      <c r="AA23" s="345">
        <v>1</v>
      </c>
      <c r="AB23" s="345">
        <v>0.75</v>
      </c>
      <c r="AC23" s="346">
        <f t="shared" si="1"/>
        <v>0.9</v>
      </c>
      <c r="AD23" s="347" t="s">
        <v>1545</v>
      </c>
    </row>
    <row r="24" spans="1:30" ht="143.25" thickBot="1">
      <c r="A24" s="292" t="s">
        <v>341</v>
      </c>
      <c r="B24" s="292" t="s">
        <v>583</v>
      </c>
      <c r="C24" s="332" t="s">
        <v>1546</v>
      </c>
      <c r="D24" s="332" t="s">
        <v>1535</v>
      </c>
      <c r="E24" s="332" t="s">
        <v>1547</v>
      </c>
      <c r="F24" s="331" t="s">
        <v>1548</v>
      </c>
      <c r="G24" s="332" t="s">
        <v>1549</v>
      </c>
      <c r="H24" s="332">
        <v>1</v>
      </c>
      <c r="I24" s="334" t="s">
        <v>1550</v>
      </c>
      <c r="J24" s="334" t="s">
        <v>600</v>
      </c>
      <c r="K24" s="334" t="s">
        <v>778</v>
      </c>
      <c r="L24" s="334" t="s">
        <v>1551</v>
      </c>
      <c r="M24" s="335">
        <v>43374</v>
      </c>
      <c r="N24" s="335">
        <v>43750</v>
      </c>
      <c r="O24" s="336">
        <f t="shared" si="2"/>
        <v>53.714285714285715</v>
      </c>
      <c r="P24" s="159">
        <v>43564</v>
      </c>
      <c r="Q24" s="337">
        <v>43564</v>
      </c>
      <c r="R24" s="338">
        <f>(Q24-M24)/7-O24</f>
        <v>-26.571428571428573</v>
      </c>
      <c r="S24" s="339" t="str">
        <f t="shared" ca="1" si="8"/>
        <v>Alerta</v>
      </c>
      <c r="T24" s="340">
        <v>1</v>
      </c>
      <c r="U24" s="190">
        <f t="shared" si="4"/>
        <v>1</v>
      </c>
      <c r="V24" s="341" t="str">
        <f t="shared" si="9"/>
        <v>100%</v>
      </c>
      <c r="W24" s="342" t="str">
        <f t="shared" si="6"/>
        <v>Cumple</v>
      </c>
      <c r="X24" s="348" t="s">
        <v>1552</v>
      </c>
      <c r="Y24" s="349" t="s">
        <v>1553</v>
      </c>
      <c r="Z24" s="341">
        <f t="shared" si="7"/>
        <v>1</v>
      </c>
      <c r="AA24" s="345">
        <v>1</v>
      </c>
      <c r="AB24" s="345">
        <v>1</v>
      </c>
      <c r="AC24" s="346">
        <f t="shared" si="1"/>
        <v>1</v>
      </c>
      <c r="AD24" s="347" t="s">
        <v>1554</v>
      </c>
    </row>
    <row r="25" spans="1:30" ht="185.25">
      <c r="A25" s="292" t="s">
        <v>341</v>
      </c>
      <c r="B25" s="292" t="s">
        <v>583</v>
      </c>
      <c r="C25" s="331" t="s">
        <v>1555</v>
      </c>
      <c r="D25" s="331" t="s">
        <v>1556</v>
      </c>
      <c r="E25" s="331" t="s">
        <v>1557</v>
      </c>
      <c r="F25" s="331" t="s">
        <v>1558</v>
      </c>
      <c r="G25" s="332" t="s">
        <v>1559</v>
      </c>
      <c r="H25" s="332">
        <v>1</v>
      </c>
      <c r="I25" s="334" t="s">
        <v>1550</v>
      </c>
      <c r="J25" s="334" t="s">
        <v>600</v>
      </c>
      <c r="K25" s="334" t="s">
        <v>778</v>
      </c>
      <c r="L25" s="334" t="s">
        <v>1551</v>
      </c>
      <c r="M25" s="335">
        <v>43374</v>
      </c>
      <c r="N25" s="335">
        <v>43750</v>
      </c>
      <c r="O25" s="336">
        <f t="shared" si="2"/>
        <v>53.714285714285715</v>
      </c>
      <c r="P25" s="159">
        <v>44165</v>
      </c>
      <c r="Q25" s="550">
        <v>44896</v>
      </c>
      <c r="R25" s="338">
        <f>(P25-M25)/7-O25</f>
        <v>59.285714285714285</v>
      </c>
      <c r="S25" s="339" t="str">
        <f t="shared" ca="1" si="8"/>
        <v>Alerta</v>
      </c>
      <c r="T25" s="331">
        <v>0.9</v>
      </c>
      <c r="U25" s="190">
        <f t="shared" si="4"/>
        <v>0.9</v>
      </c>
      <c r="V25" s="341">
        <f>IF(R25&gt;O25,0%,IF(R25&lt;=0,"100%",1-(R25/O25)))</f>
        <v>0</v>
      </c>
      <c r="W25" s="342" t="str">
        <f t="shared" si="6"/>
        <v>Incumple</v>
      </c>
      <c r="X25" s="348" t="s">
        <v>1560</v>
      </c>
      <c r="Y25" s="349" t="s">
        <v>1561</v>
      </c>
      <c r="Z25" s="341">
        <f t="shared" si="7"/>
        <v>0.45</v>
      </c>
      <c r="AA25" s="345">
        <v>0.5</v>
      </c>
      <c r="AB25" s="345">
        <v>0.5</v>
      </c>
      <c r="AC25" s="346">
        <f t="shared" si="1"/>
        <v>0.48333333333333334</v>
      </c>
      <c r="AD25" s="347" t="s">
        <v>1562</v>
      </c>
    </row>
    <row r="26" spans="1:30" ht="185.25">
      <c r="A26" s="292" t="s">
        <v>341</v>
      </c>
      <c r="B26" s="292" t="s">
        <v>583</v>
      </c>
      <c r="C26" s="331" t="s">
        <v>1555</v>
      </c>
      <c r="D26" s="331" t="s">
        <v>1556</v>
      </c>
      <c r="E26" s="331" t="s">
        <v>1557</v>
      </c>
      <c r="F26" s="331" t="s">
        <v>1563</v>
      </c>
      <c r="G26" s="332"/>
      <c r="H26" s="332">
        <v>1</v>
      </c>
      <c r="I26" s="334" t="s">
        <v>1550</v>
      </c>
      <c r="J26" s="334" t="s">
        <v>600</v>
      </c>
      <c r="K26" s="334" t="s">
        <v>778</v>
      </c>
      <c r="L26" s="334" t="s">
        <v>1564</v>
      </c>
      <c r="M26" s="335">
        <v>43375</v>
      </c>
      <c r="N26" s="335">
        <v>43751</v>
      </c>
      <c r="O26" s="336">
        <f t="shared" si="2"/>
        <v>53.714285714285715</v>
      </c>
      <c r="P26" s="159">
        <v>45271</v>
      </c>
      <c r="Q26" s="550">
        <f>P26</f>
        <v>45271</v>
      </c>
      <c r="R26" s="338">
        <f>(P26-M26)/7-O26</f>
        <v>217.14285714285711</v>
      </c>
      <c r="S26" s="339" t="str">
        <f t="shared" ca="1" si="8"/>
        <v>Alerta</v>
      </c>
      <c r="T26" s="340">
        <v>0.75</v>
      </c>
      <c r="U26" s="190">
        <f t="shared" si="4"/>
        <v>0.75</v>
      </c>
      <c r="V26" s="341">
        <f t="shared" si="9"/>
        <v>0</v>
      </c>
      <c r="W26" s="342" t="str">
        <f t="shared" si="6"/>
        <v>Incumple</v>
      </c>
      <c r="X26" s="348" t="s">
        <v>1565</v>
      </c>
      <c r="Y26" s="349" t="s">
        <v>1566</v>
      </c>
      <c r="Z26" s="341">
        <f t="shared" si="7"/>
        <v>0.375</v>
      </c>
      <c r="AA26" s="345"/>
      <c r="AB26" s="345"/>
      <c r="AC26" s="346">
        <f t="shared" si="1"/>
        <v>0.375</v>
      </c>
      <c r="AD26" s="347"/>
    </row>
    <row r="27" spans="1:30" ht="176.25" customHeight="1">
      <c r="A27" s="292" t="s">
        <v>341</v>
      </c>
      <c r="B27" s="292" t="s">
        <v>583</v>
      </c>
      <c r="C27" s="331" t="s">
        <v>1555</v>
      </c>
      <c r="D27" s="331" t="s">
        <v>1556</v>
      </c>
      <c r="E27" s="331" t="s">
        <v>1557</v>
      </c>
      <c r="F27" s="331" t="s">
        <v>1567</v>
      </c>
      <c r="G27" s="332"/>
      <c r="H27" s="332">
        <v>1</v>
      </c>
      <c r="I27" s="334" t="s">
        <v>1550</v>
      </c>
      <c r="J27" s="334" t="s">
        <v>600</v>
      </c>
      <c r="K27" s="334" t="s">
        <v>778</v>
      </c>
      <c r="L27" s="334" t="s">
        <v>1564</v>
      </c>
      <c r="M27" s="335">
        <v>43376</v>
      </c>
      <c r="N27" s="335">
        <v>43752</v>
      </c>
      <c r="O27" s="336">
        <f t="shared" si="2"/>
        <v>53.714285714285715</v>
      </c>
      <c r="P27" s="159">
        <v>45271</v>
      </c>
      <c r="Q27" s="550">
        <f t="shared" ref="Q27" si="10">P27</f>
        <v>45271</v>
      </c>
      <c r="R27" s="338">
        <f>(P27-M27)/7-O27</f>
        <v>217</v>
      </c>
      <c r="S27" s="339" t="str">
        <f t="shared" ca="1" si="8"/>
        <v>Alerta</v>
      </c>
      <c r="T27" s="340">
        <v>0.8</v>
      </c>
      <c r="U27" s="190">
        <f t="shared" si="4"/>
        <v>0.8</v>
      </c>
      <c r="V27" s="341">
        <f t="shared" si="9"/>
        <v>0</v>
      </c>
      <c r="W27" s="342" t="str">
        <f t="shared" si="6"/>
        <v>Incumple</v>
      </c>
      <c r="X27" s="348" t="s">
        <v>1568</v>
      </c>
      <c r="Y27" s="349" t="s">
        <v>1382</v>
      </c>
      <c r="Z27" s="341">
        <f>(U27+V27)/2</f>
        <v>0.4</v>
      </c>
      <c r="AA27" s="345"/>
      <c r="AB27" s="345"/>
      <c r="AC27" s="346">
        <f t="shared" si="1"/>
        <v>0.4</v>
      </c>
      <c r="AD27" s="347"/>
    </row>
    <row r="28" spans="1:30" ht="129" thickBot="1">
      <c r="A28" s="292" t="s">
        <v>341</v>
      </c>
      <c r="B28" s="292" t="s">
        <v>583</v>
      </c>
      <c r="C28" s="331" t="s">
        <v>1555</v>
      </c>
      <c r="D28" s="331" t="s">
        <v>1556</v>
      </c>
      <c r="E28" s="331" t="s">
        <v>1557</v>
      </c>
      <c r="F28" s="331" t="s">
        <v>1569</v>
      </c>
      <c r="G28" s="332"/>
      <c r="H28" s="332">
        <v>1</v>
      </c>
      <c r="I28" s="334" t="s">
        <v>1550</v>
      </c>
      <c r="J28" s="334" t="s">
        <v>600</v>
      </c>
      <c r="K28" s="334" t="s">
        <v>778</v>
      </c>
      <c r="L28" s="334" t="s">
        <v>1564</v>
      </c>
      <c r="M28" s="335">
        <v>43377</v>
      </c>
      <c r="N28" s="335">
        <v>43753</v>
      </c>
      <c r="O28" s="336">
        <f t="shared" si="2"/>
        <v>53.714285714285715</v>
      </c>
      <c r="P28" s="159">
        <v>44165</v>
      </c>
      <c r="Q28" s="337">
        <f>P28</f>
        <v>44165</v>
      </c>
      <c r="R28" s="338">
        <f>(P28-M28)/7-O28</f>
        <v>58.857142857142854</v>
      </c>
      <c r="S28" s="339" t="str">
        <f t="shared" ca="1" si="8"/>
        <v>Alerta</v>
      </c>
      <c r="T28" s="340">
        <v>1</v>
      </c>
      <c r="U28" s="190">
        <f t="shared" si="4"/>
        <v>1</v>
      </c>
      <c r="V28" s="341">
        <f t="shared" si="9"/>
        <v>0</v>
      </c>
      <c r="W28" s="342" t="str">
        <f t="shared" si="6"/>
        <v>Incumple</v>
      </c>
      <c r="X28" s="348" t="s">
        <v>1570</v>
      </c>
      <c r="Y28" s="349" t="s">
        <v>1571</v>
      </c>
      <c r="Z28" s="341">
        <f>(U28+V28)/2</f>
        <v>0.5</v>
      </c>
      <c r="AA28" s="345">
        <v>1</v>
      </c>
      <c r="AB28" s="345">
        <v>0.75</v>
      </c>
      <c r="AC28" s="346">
        <f t="shared" si="1"/>
        <v>0.75</v>
      </c>
      <c r="AD28" s="347" t="s">
        <v>1572</v>
      </c>
    </row>
    <row r="29" spans="1:30" ht="30.75" customHeight="1" thickBot="1">
      <c r="G29" s="70" t="s">
        <v>153</v>
      </c>
      <c r="H29" s="71">
        <f>SUM(H7:H28)</f>
        <v>32</v>
      </c>
      <c r="R29" s="754" t="s">
        <v>154</v>
      </c>
      <c r="S29" s="754"/>
      <c r="T29" s="354">
        <f>SUM(T7:T28)</f>
        <v>30.349999999999994</v>
      </c>
      <c r="U29" s="161">
        <f>AVERAGE(U7:U28)</f>
        <v>0.95227272727272727</v>
      </c>
      <c r="V29" s="352" t="s">
        <v>43</v>
      </c>
      <c r="W29" s="353">
        <f>(COUNTIF(W7:W28,"Cumple"))/COUNTA(W7:W28)</f>
        <v>0.36363636363636365</v>
      </c>
      <c r="X29" s="69"/>
      <c r="Y29" s="69"/>
      <c r="Z29" s="69"/>
      <c r="AA29" s="754" t="s">
        <v>154</v>
      </c>
      <c r="AB29" s="754"/>
      <c r="AC29" s="353">
        <f>AVERAGE(AC7:AC28)</f>
        <v>0.77438604142822254</v>
      </c>
    </row>
  </sheetData>
  <autoFilter ref="A6:AD6" xr:uid="{0A1C00CD-8DBF-4A08-B090-30A1BBE9626B}"/>
  <mergeCells count="29">
    <mergeCell ref="AA29:AB29"/>
    <mergeCell ref="R29:S29"/>
    <mergeCell ref="A4:B4"/>
    <mergeCell ref="C4:F4"/>
    <mergeCell ref="G4:H4"/>
    <mergeCell ref="I4:N4"/>
    <mergeCell ref="O4:P4"/>
    <mergeCell ref="G3:H3"/>
    <mergeCell ref="I3:N3"/>
    <mergeCell ref="O3:P3"/>
    <mergeCell ref="T4:U4"/>
    <mergeCell ref="V4:Y4"/>
    <mergeCell ref="Q4:S4"/>
    <mergeCell ref="O1:P2"/>
    <mergeCell ref="Q1:Y2"/>
    <mergeCell ref="Z1:AD4"/>
    <mergeCell ref="A5:N5"/>
    <mergeCell ref="O5:Y5"/>
    <mergeCell ref="Z5:AD5"/>
    <mergeCell ref="W3:X3"/>
    <mergeCell ref="A2:B2"/>
    <mergeCell ref="C2:F2"/>
    <mergeCell ref="G2:H2"/>
    <mergeCell ref="I2:N2"/>
    <mergeCell ref="Q3:V3"/>
    <mergeCell ref="A1:B1"/>
    <mergeCell ref="C1:N1"/>
    <mergeCell ref="A3:B3"/>
    <mergeCell ref="C3:F3"/>
  </mergeCells>
  <conditionalFormatting sqref="R7:R28">
    <cfRule type="cellIs" dxfId="182" priority="36" operator="greaterThan">
      <formula>0</formula>
    </cfRule>
    <cfRule type="cellIs" dxfId="181" priority="37" operator="lessThan">
      <formula>0</formula>
    </cfRule>
  </conditionalFormatting>
  <conditionalFormatting sqref="S7:S28">
    <cfRule type="containsText" dxfId="180" priority="34" operator="containsText" text="Alerta">
      <formula>NOT(ISERROR(SEARCH("Alerta",S7)))</formula>
    </cfRule>
    <cfRule type="containsText" dxfId="179" priority="35" operator="containsText" text="En tiempo">
      <formula>NOT(ISERROR(SEARCH("En tiempo",S7)))</formula>
    </cfRule>
  </conditionalFormatting>
  <conditionalFormatting sqref="U7:U29">
    <cfRule type="cellIs" dxfId="178" priority="10" stopIfTrue="1" operator="between">
      <formula>0.8</formula>
      <formula>1</formula>
    </cfRule>
    <cfRule type="cellIs" dxfId="177" priority="11" stopIfTrue="1" operator="between">
      <formula>0.5</formula>
      <formula>0.79</formula>
    </cfRule>
    <cfRule type="cellIs" dxfId="176" priority="12" stopIfTrue="1" operator="between">
      <formula>0.3</formula>
      <formula>0.49</formula>
    </cfRule>
    <cfRule type="cellIs" dxfId="175" priority="13" stopIfTrue="1" operator="between">
      <formula>0</formula>
      <formula>0.29</formula>
    </cfRule>
  </conditionalFormatting>
  <conditionalFormatting sqref="W7:W28">
    <cfRule type="containsText" dxfId="174" priority="8" operator="containsText" text="Incumple">
      <formula>NOT(ISERROR(SEARCH("Incumple",W7)))</formula>
    </cfRule>
    <cfRule type="containsText" dxfId="173" priority="9" operator="containsText" text="Cumple">
      <formula>NOT(ISERROR(SEARCH("Cumple",W7)))</formula>
    </cfRule>
  </conditionalFormatting>
  <conditionalFormatting sqref="W29">
    <cfRule type="cellIs" dxfId="172" priority="40" operator="between">
      <formula>0.19</formula>
      <formula>0</formula>
    </cfRule>
    <cfRule type="cellIs" dxfId="171" priority="41" operator="between">
      <formula>0.49</formula>
      <formula>0.2</formula>
    </cfRule>
    <cfRule type="cellIs" dxfId="170" priority="42" operator="between">
      <formula>0.89</formula>
      <formula>0.5</formula>
    </cfRule>
    <cfRule type="cellIs" dxfId="169" priority="43" operator="between">
      <formula>1</formula>
      <formula>0.9</formula>
    </cfRule>
  </conditionalFormatting>
  <conditionalFormatting sqref="Z7:Z28">
    <cfRule type="cellIs" dxfId="168" priority="4" operator="between">
      <formula>0.19</formula>
      <formula>0</formula>
    </cfRule>
    <cfRule type="cellIs" dxfId="167" priority="5" operator="between">
      <formula>0.49</formula>
      <formula>0.2</formula>
    </cfRule>
    <cfRule type="cellIs" dxfId="166" priority="6" operator="between">
      <formula>0.89</formula>
      <formula>0.5</formula>
    </cfRule>
    <cfRule type="cellIs" dxfId="165" priority="7" operator="between">
      <formula>1</formula>
      <formula>0.9</formula>
    </cfRule>
  </conditionalFormatting>
  <conditionalFormatting sqref="AC7:AC28">
    <cfRule type="cellIs" dxfId="164" priority="1" operator="between">
      <formula>0.3</formula>
      <formula>0</formula>
    </cfRule>
    <cfRule type="cellIs" dxfId="163" priority="2" operator="between">
      <formula>0.6999</formula>
      <formula>0.3111</formula>
    </cfRule>
    <cfRule type="cellIs" dxfId="162" priority="3" operator="between">
      <formula>1</formula>
      <formula>0.7</formula>
    </cfRule>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9CF82-E482-43BB-8BDA-5AEB66225312}">
  <sheetPr>
    <tabColor theme="0"/>
  </sheetPr>
  <dimension ref="A1:AV15"/>
  <sheetViews>
    <sheetView zoomScale="25" zoomScaleNormal="25" workbookViewId="0">
      <selection activeCell="X14" sqref="X14"/>
    </sheetView>
  </sheetViews>
  <sheetFormatPr defaultColWidth="17.5703125" defaultRowHeight="12.75"/>
  <cols>
    <col min="1" max="1" width="12.140625" style="53" customWidth="1"/>
    <col min="2" max="2" width="12.85546875" style="53" customWidth="1"/>
    <col min="3" max="3" width="37" style="53" customWidth="1"/>
    <col min="4" max="4" width="32.85546875" style="53" customWidth="1"/>
    <col min="5" max="5" width="36.7109375" style="53" customWidth="1"/>
    <col min="6" max="6" width="42.42578125" style="53" customWidth="1"/>
    <col min="7" max="7" width="32.85546875" style="53" customWidth="1"/>
    <col min="8" max="8" width="13" style="53" customWidth="1"/>
    <col min="9" max="9" width="26.5703125" style="53" customWidth="1"/>
    <col min="10" max="10" width="16.140625" style="53" customWidth="1"/>
    <col min="11" max="11" width="21.42578125" style="53" customWidth="1"/>
    <col min="12" max="12" width="20.5703125" style="53" customWidth="1"/>
    <col min="13" max="13" width="24.7109375" style="53" customWidth="1"/>
    <col min="14" max="14" width="22.5703125" style="53" customWidth="1"/>
    <col min="15" max="15" width="12" style="53" customWidth="1"/>
    <col min="16" max="16" width="21.7109375" style="53" customWidth="1"/>
    <col min="17" max="17" width="23.42578125" style="53" customWidth="1"/>
    <col min="18" max="18" width="11.5703125" style="53" customWidth="1"/>
    <col min="19" max="19" width="11.140625" style="53" customWidth="1"/>
    <col min="20" max="20" width="15" style="53" customWidth="1"/>
    <col min="21" max="21" width="16.5703125" style="53" customWidth="1"/>
    <col min="22" max="22" width="14.28515625" style="53" customWidth="1"/>
    <col min="23" max="23" width="16.7109375" style="53" customWidth="1"/>
    <col min="24" max="24" width="114.5703125" style="53" customWidth="1"/>
    <col min="25" max="25" width="103.28515625" style="53" customWidth="1"/>
    <col min="26" max="26" width="12.28515625" style="53" customWidth="1"/>
    <col min="27" max="27" width="13.42578125" style="53" customWidth="1"/>
    <col min="28" max="28" width="14.140625" style="53" customWidth="1"/>
    <col min="29" max="29" width="12.5703125" style="53" customWidth="1"/>
    <col min="30" max="30" width="72.42578125" style="53" customWidth="1"/>
    <col min="31" max="41" width="9.140625"/>
    <col min="42" max="42" width="28.5703125" hidden="1" customWidth="1"/>
    <col min="43" max="43" width="42" hidden="1" customWidth="1"/>
    <col min="44" max="44" width="0" hidden="1" customWidth="1"/>
    <col min="45" max="45" width="51.42578125" hidden="1" customWidth="1"/>
    <col min="46" max="46" width="8.5703125" hidden="1" customWidth="1"/>
    <col min="47" max="47" width="7.140625" hidden="1" customWidth="1"/>
    <col min="48" max="48" width="20.85546875" hidden="1" customWidth="1"/>
    <col min="49" max="49" width="0" hidden="1" customWidth="1"/>
    <col min="50" max="50" width="22.42578125" customWidth="1"/>
  </cols>
  <sheetData>
    <row r="1" spans="1:30" ht="105.75" customHeight="1" thickBot="1">
      <c r="A1" s="772" t="s">
        <v>0</v>
      </c>
      <c r="B1" s="772"/>
      <c r="C1" s="772" t="s">
        <v>155</v>
      </c>
      <c r="D1" s="772"/>
      <c r="E1" s="772"/>
      <c r="F1" s="772"/>
      <c r="G1" s="772"/>
      <c r="H1" s="772"/>
      <c r="I1" s="772"/>
      <c r="J1" s="772"/>
      <c r="K1" s="772"/>
      <c r="L1" s="772"/>
      <c r="M1" s="772"/>
      <c r="N1" s="772"/>
      <c r="O1" s="772"/>
      <c r="P1" s="772"/>
      <c r="Q1" s="772" t="s">
        <v>1</v>
      </c>
      <c r="R1" s="772"/>
      <c r="S1" s="772"/>
      <c r="T1" s="772"/>
      <c r="U1" s="772"/>
      <c r="V1" s="772"/>
      <c r="W1" s="772"/>
      <c r="X1" s="772"/>
      <c r="Y1" s="772"/>
      <c r="Z1" s="772" t="s">
        <v>1</v>
      </c>
      <c r="AA1" s="772"/>
      <c r="AB1" s="772"/>
      <c r="AC1" s="772"/>
      <c r="AD1" s="772"/>
    </row>
    <row r="2" spans="1:30" ht="24.75" customHeight="1" thickBot="1">
      <c r="A2" s="772" t="s">
        <v>2</v>
      </c>
      <c r="B2" s="772"/>
      <c r="C2" s="772" t="s">
        <v>3</v>
      </c>
      <c r="D2" s="773"/>
      <c r="E2" s="773"/>
      <c r="F2" s="773"/>
      <c r="G2" s="772" t="s">
        <v>4</v>
      </c>
      <c r="H2" s="772"/>
      <c r="I2" s="772" t="s">
        <v>5</v>
      </c>
      <c r="J2" s="772"/>
      <c r="K2" s="772"/>
      <c r="L2" s="772"/>
      <c r="M2" s="772"/>
      <c r="N2" s="772"/>
      <c r="O2" s="772"/>
      <c r="P2" s="772"/>
      <c r="Q2" s="772"/>
      <c r="R2" s="772"/>
      <c r="S2" s="772"/>
      <c r="T2" s="772"/>
      <c r="U2" s="772"/>
      <c r="V2" s="772"/>
      <c r="W2" s="772"/>
      <c r="X2" s="772"/>
      <c r="Y2" s="772"/>
      <c r="Z2" s="772"/>
      <c r="AA2" s="772"/>
      <c r="AB2" s="772"/>
      <c r="AC2" s="772"/>
      <c r="AD2" s="772"/>
    </row>
    <row r="3" spans="1:30" ht="28.5" customHeight="1" thickBot="1">
      <c r="A3" s="774" t="s">
        <v>6</v>
      </c>
      <c r="B3" s="774"/>
      <c r="C3" s="772" t="s">
        <v>1573</v>
      </c>
      <c r="D3" s="772"/>
      <c r="E3" s="772"/>
      <c r="F3" s="772"/>
      <c r="G3" s="774" t="s">
        <v>8</v>
      </c>
      <c r="H3" s="774"/>
      <c r="I3" s="776" t="s">
        <v>1574</v>
      </c>
      <c r="J3" s="772"/>
      <c r="K3" s="772"/>
      <c r="L3" s="772"/>
      <c r="M3" s="772"/>
      <c r="N3" s="772"/>
      <c r="O3" s="774" t="s">
        <v>9</v>
      </c>
      <c r="P3" s="774"/>
      <c r="Q3" s="776"/>
      <c r="R3" s="776"/>
      <c r="S3" s="776"/>
      <c r="T3" s="776"/>
      <c r="U3" s="776"/>
      <c r="V3" s="776"/>
      <c r="W3" s="248"/>
      <c r="X3" s="249" t="s">
        <v>10</v>
      </c>
      <c r="Y3" s="308"/>
      <c r="Z3" s="772"/>
      <c r="AA3" s="772"/>
      <c r="AB3" s="772"/>
      <c r="AC3" s="772"/>
      <c r="AD3" s="772"/>
    </row>
    <row r="4" spans="1:30" ht="35.25" customHeight="1" thickBot="1">
      <c r="A4" s="774" t="s">
        <v>12</v>
      </c>
      <c r="B4" s="774"/>
      <c r="C4" s="772" t="s">
        <v>1575</v>
      </c>
      <c r="D4" s="772"/>
      <c r="E4" s="772"/>
      <c r="F4" s="772"/>
      <c r="G4" s="774" t="s">
        <v>14</v>
      </c>
      <c r="H4" s="774"/>
      <c r="I4" s="776" t="s">
        <v>1576</v>
      </c>
      <c r="J4" s="776"/>
      <c r="K4" s="776"/>
      <c r="L4" s="776"/>
      <c r="M4" s="776"/>
      <c r="N4" s="776"/>
      <c r="O4" s="774" t="s">
        <v>15</v>
      </c>
      <c r="P4" s="774"/>
      <c r="Q4" s="772" t="s">
        <v>16</v>
      </c>
      <c r="R4" s="772"/>
      <c r="S4" s="772"/>
      <c r="T4" s="774" t="s">
        <v>17</v>
      </c>
      <c r="U4" s="774"/>
      <c r="V4" s="772" t="s">
        <v>1577</v>
      </c>
      <c r="W4" s="772"/>
      <c r="X4" s="772"/>
      <c r="Y4" s="772"/>
      <c r="Z4" s="772"/>
      <c r="AA4" s="772"/>
      <c r="AB4" s="772"/>
      <c r="AC4" s="772"/>
      <c r="AD4" s="772"/>
    </row>
    <row r="5" spans="1:30" ht="20.25" customHeight="1" thickBot="1">
      <c r="A5" s="781" t="s">
        <v>18</v>
      </c>
      <c r="B5" s="781"/>
      <c r="C5" s="781"/>
      <c r="D5" s="781"/>
      <c r="E5" s="781"/>
      <c r="F5" s="781"/>
      <c r="G5" s="781"/>
      <c r="H5" s="781"/>
      <c r="I5" s="781"/>
      <c r="J5" s="781"/>
      <c r="K5" s="781"/>
      <c r="L5" s="781"/>
      <c r="M5" s="781"/>
      <c r="N5" s="781"/>
      <c r="O5" s="782" t="s">
        <v>19</v>
      </c>
      <c r="P5" s="782"/>
      <c r="Q5" s="782"/>
      <c r="R5" s="782"/>
      <c r="S5" s="782"/>
      <c r="T5" s="782"/>
      <c r="U5" s="782"/>
      <c r="V5" s="782"/>
      <c r="W5" s="782"/>
      <c r="X5" s="782"/>
      <c r="Y5" s="782"/>
      <c r="Z5" s="783" t="s">
        <v>20</v>
      </c>
      <c r="AA5" s="783"/>
      <c r="AB5" s="783"/>
      <c r="AC5" s="783"/>
      <c r="AD5" s="783"/>
    </row>
    <row r="6" spans="1:30" ht="75.75" thickBot="1">
      <c r="A6" s="250" t="s">
        <v>21</v>
      </c>
      <c r="B6" s="250" t="s">
        <v>22</v>
      </c>
      <c r="C6" s="250" t="s">
        <v>770</v>
      </c>
      <c r="D6" s="250" t="s">
        <v>24</v>
      </c>
      <c r="E6" s="250" t="s">
        <v>25</v>
      </c>
      <c r="F6" s="250" t="s">
        <v>26</v>
      </c>
      <c r="G6" s="250" t="s">
        <v>27</v>
      </c>
      <c r="H6" s="250" t="s">
        <v>28</v>
      </c>
      <c r="I6" s="250" t="s">
        <v>29</v>
      </c>
      <c r="J6" s="250" t="s">
        <v>30</v>
      </c>
      <c r="K6" s="250" t="s">
        <v>31</v>
      </c>
      <c r="L6" s="250" t="s">
        <v>32</v>
      </c>
      <c r="M6" s="250" t="s">
        <v>33</v>
      </c>
      <c r="N6" s="250" t="s">
        <v>34</v>
      </c>
      <c r="O6" s="251" t="s">
        <v>35</v>
      </c>
      <c r="P6" s="251" t="s">
        <v>36</v>
      </c>
      <c r="Q6" s="251" t="s">
        <v>37</v>
      </c>
      <c r="R6" s="251" t="s">
        <v>38</v>
      </c>
      <c r="S6" s="251" t="s">
        <v>39</v>
      </c>
      <c r="T6" s="251" t="s">
        <v>40</v>
      </c>
      <c r="U6" s="251" t="s">
        <v>41</v>
      </c>
      <c r="V6" s="251" t="s">
        <v>42</v>
      </c>
      <c r="W6" s="251" t="s">
        <v>43</v>
      </c>
      <c r="X6" s="251" t="s">
        <v>44</v>
      </c>
      <c r="Y6" s="251" t="s">
        <v>45</v>
      </c>
      <c r="Z6" s="254" t="s">
        <v>46</v>
      </c>
      <c r="AA6" s="254" t="s">
        <v>771</v>
      </c>
      <c r="AB6" s="254" t="s">
        <v>48</v>
      </c>
      <c r="AC6" s="254" t="s">
        <v>49</v>
      </c>
      <c r="AD6" s="254" t="s">
        <v>50</v>
      </c>
    </row>
    <row r="7" spans="1:30" ht="315" customHeight="1" thickBot="1">
      <c r="A7" s="292" t="s">
        <v>341</v>
      </c>
      <c r="B7" s="292" t="s">
        <v>583</v>
      </c>
      <c r="C7" s="292" t="s">
        <v>1578</v>
      </c>
      <c r="D7" s="292" t="s">
        <v>1579</v>
      </c>
      <c r="E7" s="292" t="s">
        <v>1580</v>
      </c>
      <c r="F7" s="292" t="s">
        <v>1581</v>
      </c>
      <c r="G7" s="292" t="s">
        <v>1582</v>
      </c>
      <c r="H7" s="292">
        <v>9</v>
      </c>
      <c r="I7" s="292" t="s">
        <v>1583</v>
      </c>
      <c r="J7" s="292" t="s">
        <v>590</v>
      </c>
      <c r="K7" s="292" t="s">
        <v>778</v>
      </c>
      <c r="L7" s="292" t="s">
        <v>1584</v>
      </c>
      <c r="M7" s="309">
        <v>44861</v>
      </c>
      <c r="N7" s="309">
        <v>45015</v>
      </c>
      <c r="O7" s="310">
        <f>(N7-M7)/7</f>
        <v>22</v>
      </c>
      <c r="P7" s="311">
        <v>45107</v>
      </c>
      <c r="Q7" s="311">
        <f t="shared" ref="Q7:Q14" si="0">P7</f>
        <v>45107</v>
      </c>
      <c r="R7" s="198">
        <f>(Q7-M7)/7-O7</f>
        <v>13.142857142857146</v>
      </c>
      <c r="S7" s="312" t="str">
        <f ca="1">IF((N7-TODAY())/7&gt;=0,"En tiempo","Alerta")</f>
        <v>Alerta</v>
      </c>
      <c r="T7" s="313">
        <v>4</v>
      </c>
      <c r="U7" s="314">
        <f>IF(T7/H7=1,1,+T7/H7)</f>
        <v>0.44444444444444442</v>
      </c>
      <c r="V7" s="314">
        <f>IF(R7&gt;O7,0%,IF(R7&lt;=0,"100%",1-(R7/O7)))</f>
        <v>0.40259740259740251</v>
      </c>
      <c r="W7" s="315" t="str">
        <f>IF(Q7&lt;=N7,"Cumple","Incumple")</f>
        <v>Incumple</v>
      </c>
      <c r="X7" s="316" t="s">
        <v>1585</v>
      </c>
      <c r="Y7" s="293" t="s">
        <v>1586</v>
      </c>
      <c r="Z7" s="314">
        <f>(U7+V7)/2</f>
        <v>0.42352092352092346</v>
      </c>
      <c r="AA7" s="317"/>
      <c r="AB7" s="317"/>
      <c r="AC7" s="318"/>
      <c r="AD7" s="278"/>
    </row>
    <row r="8" spans="1:30" ht="162.75" customHeight="1" thickBot="1">
      <c r="A8" s="292" t="s">
        <v>341</v>
      </c>
      <c r="B8" s="292" t="s">
        <v>583</v>
      </c>
      <c r="C8" s="292" t="s">
        <v>1578</v>
      </c>
      <c r="D8" s="292" t="s">
        <v>1587</v>
      </c>
      <c r="E8" s="292" t="s">
        <v>1580</v>
      </c>
      <c r="F8" s="292" t="s">
        <v>1588</v>
      </c>
      <c r="G8" s="292" t="s">
        <v>1589</v>
      </c>
      <c r="H8" s="292">
        <v>1</v>
      </c>
      <c r="I8" s="292" t="s">
        <v>1590</v>
      </c>
      <c r="J8" s="292" t="s">
        <v>590</v>
      </c>
      <c r="K8" s="292" t="s">
        <v>778</v>
      </c>
      <c r="L8" s="292" t="s">
        <v>1591</v>
      </c>
      <c r="M8" s="309">
        <v>44861</v>
      </c>
      <c r="N8" s="309">
        <v>45225</v>
      </c>
      <c r="O8" s="310">
        <f t="shared" ref="O8:O13" si="1">(N8-M8)/7</f>
        <v>52</v>
      </c>
      <c r="P8" s="311">
        <v>45107</v>
      </c>
      <c r="Q8" s="311">
        <f t="shared" si="0"/>
        <v>45107</v>
      </c>
      <c r="R8" s="198">
        <f t="shared" ref="R8:R14" si="2">(Q8-M8)/7-O8</f>
        <v>-16.857142857142854</v>
      </c>
      <c r="S8" s="312" t="str">
        <f ca="1">IF((N8-TODAY())/7&gt;=0,"En tiempo","Alerta")</f>
        <v>Alerta</v>
      </c>
      <c r="T8" s="313">
        <v>0.3</v>
      </c>
      <c r="U8" s="314">
        <f t="shared" ref="U8:U14" si="3">IF(T8/H8=1,1,+T8/H8)</f>
        <v>0.3</v>
      </c>
      <c r="V8" s="314" t="str">
        <f>IF(R8&gt;O8,0%,IF(R8&lt;=0,"100%",1-(R8/O8)))</f>
        <v>100%</v>
      </c>
      <c r="W8" s="315" t="str">
        <f>IF(Q8&lt;=N8,"Cumple","Incumple")</f>
        <v>Cumple</v>
      </c>
      <c r="X8" s="316" t="s">
        <v>1592</v>
      </c>
      <c r="Y8" s="319" t="s">
        <v>1593</v>
      </c>
      <c r="Z8" s="314">
        <f>(U8+V8)/2</f>
        <v>0.65</v>
      </c>
      <c r="AA8" s="317"/>
      <c r="AB8" s="317"/>
      <c r="AC8" s="318"/>
      <c r="AD8" s="278"/>
    </row>
    <row r="9" spans="1:30" ht="143.25" customHeight="1" thickBot="1">
      <c r="A9" s="292" t="s">
        <v>341</v>
      </c>
      <c r="B9" s="292" t="s">
        <v>583</v>
      </c>
      <c r="C9" s="292" t="s">
        <v>1578</v>
      </c>
      <c r="D9" s="292" t="s">
        <v>1587</v>
      </c>
      <c r="E9" s="292" t="s">
        <v>1580</v>
      </c>
      <c r="F9" s="292" t="s">
        <v>1594</v>
      </c>
      <c r="G9" s="292" t="s">
        <v>1595</v>
      </c>
      <c r="H9" s="292">
        <v>1</v>
      </c>
      <c r="I9" s="292" t="s">
        <v>1596</v>
      </c>
      <c r="J9" s="292" t="s">
        <v>590</v>
      </c>
      <c r="K9" s="292" t="s">
        <v>778</v>
      </c>
      <c r="L9" s="292" t="s">
        <v>1597</v>
      </c>
      <c r="M9" s="309">
        <v>44963</v>
      </c>
      <c r="N9" s="309">
        <v>45225</v>
      </c>
      <c r="O9" s="310">
        <f t="shared" si="1"/>
        <v>37.428571428571431</v>
      </c>
      <c r="P9" s="311">
        <v>45107</v>
      </c>
      <c r="Q9" s="311">
        <f t="shared" si="0"/>
        <v>45107</v>
      </c>
      <c r="R9" s="198">
        <f t="shared" si="2"/>
        <v>-16.857142857142858</v>
      </c>
      <c r="S9" s="312" t="str">
        <f ca="1">IF((N9-TODAY())/7&gt;=0,"En tiempo","Alerta")</f>
        <v>Alerta</v>
      </c>
      <c r="T9" s="313"/>
      <c r="U9" s="314">
        <f t="shared" si="3"/>
        <v>0</v>
      </c>
      <c r="V9" s="314" t="str">
        <f>IF(R9&gt;O9,0%,IF(R9&lt;=0,"100%",1-(R9/O9)))</f>
        <v>100%</v>
      </c>
      <c r="W9" s="315" t="str">
        <f>IF(Q9&lt;=N9,"Cumple","Incumple")</f>
        <v>Cumple</v>
      </c>
      <c r="X9" s="316" t="s">
        <v>1598</v>
      </c>
      <c r="Y9" s="293" t="s">
        <v>1382</v>
      </c>
      <c r="Z9" s="314">
        <f>(U9+V9)/2</f>
        <v>0.5</v>
      </c>
      <c r="AA9" s="317"/>
      <c r="AB9" s="317"/>
      <c r="AC9" s="318"/>
      <c r="AD9" s="278"/>
    </row>
    <row r="10" spans="1:30" ht="153" customHeight="1" thickBot="1">
      <c r="A10" s="292" t="s">
        <v>341</v>
      </c>
      <c r="B10" s="292" t="s">
        <v>583</v>
      </c>
      <c r="C10" s="292" t="s">
        <v>1578</v>
      </c>
      <c r="D10" s="292" t="s">
        <v>1587</v>
      </c>
      <c r="E10" s="292" t="s">
        <v>1580</v>
      </c>
      <c r="F10" s="292" t="s">
        <v>1599</v>
      </c>
      <c r="G10" s="292" t="s">
        <v>1600</v>
      </c>
      <c r="H10" s="320">
        <v>1</v>
      </c>
      <c r="I10" s="292" t="s">
        <v>1601</v>
      </c>
      <c r="J10" s="292" t="s">
        <v>590</v>
      </c>
      <c r="K10" s="292" t="s">
        <v>778</v>
      </c>
      <c r="L10" s="292" t="s">
        <v>1602</v>
      </c>
      <c r="M10" s="309">
        <v>44861</v>
      </c>
      <c r="N10" s="309">
        <v>45225</v>
      </c>
      <c r="O10" s="310">
        <f t="shared" si="1"/>
        <v>52</v>
      </c>
      <c r="P10" s="311">
        <v>45107</v>
      </c>
      <c r="Q10" s="311">
        <f t="shared" si="0"/>
        <v>45107</v>
      </c>
      <c r="R10" s="198">
        <f t="shared" si="2"/>
        <v>-16.857142857142854</v>
      </c>
      <c r="S10" s="312" t="str">
        <f ca="1">IF((N10-TODAY())/7&gt;=0,"En tiempo","Alerta")</f>
        <v>Alerta</v>
      </c>
      <c r="T10" s="313"/>
      <c r="U10" s="314">
        <f t="shared" si="3"/>
        <v>0</v>
      </c>
      <c r="V10" s="314" t="str">
        <f>IF(R10&gt;O10,0%,IF(R10&lt;=0,"100%",1-(R10/O10)))</f>
        <v>100%</v>
      </c>
      <c r="W10" s="315" t="str">
        <f>IF(Q10&lt;=N10,"Cumple","Incumple")</f>
        <v>Cumple</v>
      </c>
      <c r="X10" s="316" t="s">
        <v>1598</v>
      </c>
      <c r="Y10" s="293" t="s">
        <v>1382</v>
      </c>
      <c r="Z10" s="314">
        <f>(U10+V10)/2</f>
        <v>0.5</v>
      </c>
      <c r="AA10" s="317"/>
      <c r="AB10" s="317"/>
      <c r="AC10" s="318"/>
      <c r="AD10" s="278"/>
    </row>
    <row r="11" spans="1:30" ht="157.5" thickBot="1">
      <c r="A11" s="292" t="s">
        <v>341</v>
      </c>
      <c r="B11" s="292" t="s">
        <v>583</v>
      </c>
      <c r="C11" s="292" t="s">
        <v>1603</v>
      </c>
      <c r="D11" s="292" t="s">
        <v>1587</v>
      </c>
      <c r="E11" s="292" t="s">
        <v>1604</v>
      </c>
      <c r="F11" s="292" t="s">
        <v>1605</v>
      </c>
      <c r="G11" s="292" t="s">
        <v>1606</v>
      </c>
      <c r="H11" s="320">
        <v>1</v>
      </c>
      <c r="I11" s="292" t="s">
        <v>1607</v>
      </c>
      <c r="J11" s="292" t="s">
        <v>590</v>
      </c>
      <c r="K11" s="292" t="s">
        <v>778</v>
      </c>
      <c r="L11" s="292" t="s">
        <v>1608</v>
      </c>
      <c r="M11" s="309">
        <v>44861</v>
      </c>
      <c r="N11" s="309">
        <v>45079</v>
      </c>
      <c r="O11" s="310">
        <f t="shared" si="1"/>
        <v>31.142857142857142</v>
      </c>
      <c r="P11" s="311">
        <v>45107</v>
      </c>
      <c r="Q11" s="311">
        <f t="shared" si="0"/>
        <v>45107</v>
      </c>
      <c r="R11" s="198">
        <f t="shared" si="2"/>
        <v>4.0000000000000036</v>
      </c>
      <c r="S11" s="312" t="str">
        <f t="shared" ref="S11:S14" ca="1" si="4">IF((N11-TODAY())/7&gt;=0,"En tiempo","Alerta")</f>
        <v>Alerta</v>
      </c>
      <c r="T11" s="313">
        <v>0.3</v>
      </c>
      <c r="U11" s="314">
        <f t="shared" si="3"/>
        <v>0.3</v>
      </c>
      <c r="V11" s="314">
        <f t="shared" ref="V11:V14" si="5">IF(R11&gt;O11,0%,IF(R11&lt;=0,"100%",1-(R11/O11)))</f>
        <v>0.87155963302752282</v>
      </c>
      <c r="W11" s="315" t="str">
        <f t="shared" ref="W11:W14" si="6">IF(Q11&lt;=N11,"Cumple","Incumple")</f>
        <v>Incumple</v>
      </c>
      <c r="X11" s="316" t="s">
        <v>1609</v>
      </c>
      <c r="Y11" s="293" t="s">
        <v>1610</v>
      </c>
      <c r="Z11" s="314">
        <f t="shared" ref="Z11:Z14" si="7">(U11+V11)/2</f>
        <v>0.58577981651376143</v>
      </c>
      <c r="AA11" s="317"/>
      <c r="AB11" s="317"/>
      <c r="AC11" s="318"/>
      <c r="AD11" s="278"/>
    </row>
    <row r="12" spans="1:30" ht="198.75" customHeight="1" thickBot="1">
      <c r="A12" s="292" t="s">
        <v>341</v>
      </c>
      <c r="B12" s="292" t="s">
        <v>583</v>
      </c>
      <c r="C12" s="292" t="s">
        <v>1603</v>
      </c>
      <c r="D12" s="292" t="s">
        <v>1587</v>
      </c>
      <c r="E12" s="292" t="s">
        <v>1604</v>
      </c>
      <c r="F12" s="292" t="s">
        <v>1611</v>
      </c>
      <c r="G12" s="292" t="s">
        <v>1612</v>
      </c>
      <c r="H12" s="320">
        <v>1</v>
      </c>
      <c r="I12" s="292" t="s">
        <v>1607</v>
      </c>
      <c r="J12" s="292" t="s">
        <v>590</v>
      </c>
      <c r="K12" s="292" t="s">
        <v>778</v>
      </c>
      <c r="L12" s="292" t="s">
        <v>1608</v>
      </c>
      <c r="M12" s="309">
        <v>44861</v>
      </c>
      <c r="N12" s="309">
        <v>45079</v>
      </c>
      <c r="O12" s="310">
        <f t="shared" si="1"/>
        <v>31.142857142857142</v>
      </c>
      <c r="P12" s="311">
        <v>45107</v>
      </c>
      <c r="Q12" s="311">
        <f t="shared" si="0"/>
        <v>45107</v>
      </c>
      <c r="R12" s="198">
        <f t="shared" si="2"/>
        <v>4.0000000000000036</v>
      </c>
      <c r="S12" s="312" t="str">
        <f t="shared" ca="1" si="4"/>
        <v>Alerta</v>
      </c>
      <c r="T12" s="313">
        <v>0.3</v>
      </c>
      <c r="U12" s="314">
        <f t="shared" si="3"/>
        <v>0.3</v>
      </c>
      <c r="V12" s="314">
        <f t="shared" si="5"/>
        <v>0.87155963302752282</v>
      </c>
      <c r="W12" s="315" t="str">
        <f t="shared" si="6"/>
        <v>Incumple</v>
      </c>
      <c r="X12" s="316" t="s">
        <v>1613</v>
      </c>
      <c r="Y12" s="316" t="s">
        <v>1614</v>
      </c>
      <c r="Z12" s="314">
        <f t="shared" si="7"/>
        <v>0.58577981651376143</v>
      </c>
      <c r="AA12" s="317"/>
      <c r="AB12" s="317"/>
      <c r="AC12" s="318"/>
      <c r="AD12" s="278"/>
    </row>
    <row r="13" spans="1:30" ht="152.25" customHeight="1" thickBot="1">
      <c r="A13" s="292" t="s">
        <v>341</v>
      </c>
      <c r="B13" s="292" t="s">
        <v>583</v>
      </c>
      <c r="C13" s="292" t="s">
        <v>1615</v>
      </c>
      <c r="D13" s="316" t="s">
        <v>1616</v>
      </c>
      <c r="E13" s="292" t="s">
        <v>1617</v>
      </c>
      <c r="F13" s="292" t="s">
        <v>1618</v>
      </c>
      <c r="G13" s="292" t="s">
        <v>1619</v>
      </c>
      <c r="H13" s="320">
        <v>1</v>
      </c>
      <c r="I13" s="292" t="s">
        <v>1620</v>
      </c>
      <c r="J13" s="292" t="s">
        <v>590</v>
      </c>
      <c r="K13" s="292" t="s">
        <v>778</v>
      </c>
      <c r="L13" s="292" t="s">
        <v>1621</v>
      </c>
      <c r="M13" s="309">
        <v>44714</v>
      </c>
      <c r="N13" s="309">
        <v>45079</v>
      </c>
      <c r="O13" s="310">
        <f t="shared" si="1"/>
        <v>52.142857142857146</v>
      </c>
      <c r="P13" s="311">
        <v>45107</v>
      </c>
      <c r="Q13" s="311">
        <v>44925</v>
      </c>
      <c r="R13" s="198">
        <f t="shared" si="2"/>
        <v>-22.000000000000004</v>
      </c>
      <c r="S13" s="312" t="str">
        <f t="shared" ca="1" si="4"/>
        <v>Alerta</v>
      </c>
      <c r="T13" s="313">
        <v>1</v>
      </c>
      <c r="U13" s="314">
        <f t="shared" si="3"/>
        <v>1</v>
      </c>
      <c r="V13" s="314" t="str">
        <f t="shared" si="5"/>
        <v>100%</v>
      </c>
      <c r="W13" s="315" t="str">
        <f t="shared" si="6"/>
        <v>Cumple</v>
      </c>
      <c r="X13" s="316" t="s">
        <v>1622</v>
      </c>
      <c r="Y13" s="293" t="s">
        <v>1623</v>
      </c>
      <c r="Z13" s="314">
        <f t="shared" si="7"/>
        <v>1</v>
      </c>
      <c r="AA13" s="317">
        <v>1</v>
      </c>
      <c r="AB13" s="317">
        <v>0.75</v>
      </c>
      <c r="AC13" s="321">
        <f>AVERAGE(Z13:AB13)</f>
        <v>0.91666666666666663</v>
      </c>
      <c r="AD13" s="278" t="s">
        <v>1624</v>
      </c>
    </row>
    <row r="14" spans="1:30" ht="168" customHeight="1" thickBot="1">
      <c r="A14" s="292" t="s">
        <v>341</v>
      </c>
      <c r="B14" s="292" t="s">
        <v>583</v>
      </c>
      <c r="C14" s="292" t="s">
        <v>1615</v>
      </c>
      <c r="D14" s="316" t="s">
        <v>1616</v>
      </c>
      <c r="E14" s="292" t="s">
        <v>1617</v>
      </c>
      <c r="F14" s="292" t="s">
        <v>1625</v>
      </c>
      <c r="G14" s="292" t="s">
        <v>1626</v>
      </c>
      <c r="H14" s="320">
        <v>1</v>
      </c>
      <c r="I14" s="292" t="s">
        <v>1627</v>
      </c>
      <c r="J14" s="292" t="s">
        <v>590</v>
      </c>
      <c r="K14" s="292" t="s">
        <v>778</v>
      </c>
      <c r="L14" s="292" t="s">
        <v>1621</v>
      </c>
      <c r="M14" s="309">
        <v>44714</v>
      </c>
      <c r="N14" s="309">
        <v>45079</v>
      </c>
      <c r="O14" s="310">
        <f>(N14-M14)/7</f>
        <v>52.142857142857146</v>
      </c>
      <c r="P14" s="311">
        <v>45107</v>
      </c>
      <c r="Q14" s="311">
        <f t="shared" si="0"/>
        <v>45107</v>
      </c>
      <c r="R14" s="198">
        <f t="shared" si="2"/>
        <v>4</v>
      </c>
      <c r="S14" s="312" t="str">
        <f t="shared" ca="1" si="4"/>
        <v>Alerta</v>
      </c>
      <c r="T14" s="313">
        <v>0.33</v>
      </c>
      <c r="U14" s="314">
        <f t="shared" si="3"/>
        <v>0.33</v>
      </c>
      <c r="V14" s="314">
        <f t="shared" si="5"/>
        <v>0.92328767123287669</v>
      </c>
      <c r="W14" s="315" t="str">
        <f t="shared" si="6"/>
        <v>Incumple</v>
      </c>
      <c r="X14" s="316" t="s">
        <v>1628</v>
      </c>
      <c r="Y14" s="316" t="s">
        <v>1629</v>
      </c>
      <c r="Z14" s="314">
        <f t="shared" si="7"/>
        <v>0.62664383561643833</v>
      </c>
      <c r="AA14" s="317"/>
      <c r="AB14" s="317"/>
      <c r="AC14" s="318"/>
      <c r="AD14" s="278"/>
    </row>
    <row r="15" spans="1:30" ht="30.75" customHeight="1" thickBot="1">
      <c r="G15" s="65" t="s">
        <v>153</v>
      </c>
      <c r="H15" s="68">
        <f>SUM(H7:H14)</f>
        <v>16</v>
      </c>
      <c r="R15" s="780" t="s">
        <v>154</v>
      </c>
      <c r="S15" s="780"/>
      <c r="T15" s="324">
        <f>SUM(T7:T14)</f>
        <v>6.2299999999999995</v>
      </c>
      <c r="U15" s="325">
        <f>AVERAGE(U7:U14)</f>
        <v>0.33430555555555558</v>
      </c>
      <c r="V15" s="323"/>
      <c r="W15" s="322">
        <f>(COUNTIF(W7:W14,"Cumple")*100%)/COUNTA(W7:W14)</f>
        <v>0.5</v>
      </c>
      <c r="AA15" s="780" t="s">
        <v>154</v>
      </c>
      <c r="AB15" s="780"/>
      <c r="AC15" s="322">
        <f>AVERAGE(AC7:AC14)</f>
        <v>0.91666666666666663</v>
      </c>
    </row>
  </sheetData>
  <mergeCells count="28">
    <mergeCell ref="AA15:AB15"/>
    <mergeCell ref="R15:S15"/>
    <mergeCell ref="G2:H2"/>
    <mergeCell ref="I2:N2"/>
    <mergeCell ref="Q3:V3"/>
    <mergeCell ref="O3:P3"/>
    <mergeCell ref="O1:P2"/>
    <mergeCell ref="Q1:Y2"/>
    <mergeCell ref="Z1:AD4"/>
    <mergeCell ref="A5:N5"/>
    <mergeCell ref="O5:Y5"/>
    <mergeCell ref="Z5:AD5"/>
    <mergeCell ref="T4:U4"/>
    <mergeCell ref="V4:Y4"/>
    <mergeCell ref="A4:B4"/>
    <mergeCell ref="C4:F4"/>
    <mergeCell ref="A1:B1"/>
    <mergeCell ref="C1:N1"/>
    <mergeCell ref="A3:B3"/>
    <mergeCell ref="C3:F3"/>
    <mergeCell ref="G3:H3"/>
    <mergeCell ref="I3:N3"/>
    <mergeCell ref="G4:H4"/>
    <mergeCell ref="I4:N4"/>
    <mergeCell ref="O4:P4"/>
    <mergeCell ref="Q4:S4"/>
    <mergeCell ref="A2:B2"/>
    <mergeCell ref="C2:F2"/>
  </mergeCells>
  <conditionalFormatting sqref="R7:R14">
    <cfRule type="cellIs" dxfId="161" priority="75" operator="greaterThan">
      <formula>0</formula>
    </cfRule>
    <cfRule type="cellIs" dxfId="160" priority="76" operator="lessThan">
      <formula>0</formula>
    </cfRule>
  </conditionalFormatting>
  <conditionalFormatting sqref="S7:S14">
    <cfRule type="containsText" dxfId="159" priority="14" operator="containsText" text="Alerta">
      <formula>NOT(ISERROR(SEARCH("Alerta",S7)))</formula>
    </cfRule>
    <cfRule type="containsText" dxfId="158" priority="15" operator="containsText" text="En tiempo">
      <formula>NOT(ISERROR(SEARCH("En tiempo",S7)))</formula>
    </cfRule>
  </conditionalFormatting>
  <conditionalFormatting sqref="U8:U15">
    <cfRule type="cellIs" dxfId="157" priority="1" operator="between">
      <formula>0.29</formula>
      <formula>0</formula>
    </cfRule>
    <cfRule type="cellIs" dxfId="156" priority="2" operator="between">
      <formula>0.49</formula>
      <formula>0.3</formula>
    </cfRule>
    <cfRule type="cellIs" dxfId="155" priority="3" operator="between">
      <formula>0.79</formula>
      <formula>0.5</formula>
    </cfRule>
    <cfRule type="cellIs" dxfId="154" priority="4" operator="between">
      <formula>1</formula>
      <formula>0.8</formula>
    </cfRule>
  </conditionalFormatting>
  <conditionalFormatting sqref="U7:V7 Z7 V11 Z11 V13 Z13">
    <cfRule type="cellIs" dxfId="153" priority="67" operator="between">
      <formula>0.29</formula>
      <formula>0</formula>
    </cfRule>
    <cfRule type="cellIs" dxfId="152" priority="68" operator="between">
      <formula>0.49</formula>
      <formula>0.3</formula>
    </cfRule>
    <cfRule type="cellIs" dxfId="151" priority="69" operator="between">
      <formula>0.79</formula>
      <formula>0.5</formula>
    </cfRule>
    <cfRule type="cellIs" dxfId="150" priority="70" operator="between">
      <formula>1</formula>
      <formula>0.8</formula>
    </cfRule>
  </conditionalFormatting>
  <conditionalFormatting sqref="V8:V10 Z8:Z10">
    <cfRule type="cellIs" dxfId="149" priority="30" operator="between">
      <formula>0.19</formula>
      <formula>0</formula>
    </cfRule>
    <cfRule type="cellIs" dxfId="148" priority="31" operator="between">
      <formula>0.49</formula>
      <formula>0.2</formula>
    </cfRule>
    <cfRule type="cellIs" dxfId="147" priority="32" operator="between">
      <formula>0.89</formula>
      <formula>0.5</formula>
    </cfRule>
    <cfRule type="cellIs" dxfId="146" priority="33" operator="between">
      <formula>1</formula>
      <formula>0.9</formula>
    </cfRule>
  </conditionalFormatting>
  <conditionalFormatting sqref="V12 Z12">
    <cfRule type="cellIs" dxfId="145" priority="19" operator="between">
      <formula>0.19</formula>
      <formula>0</formula>
    </cfRule>
    <cfRule type="cellIs" dxfId="144" priority="20" operator="between">
      <formula>0.49</formula>
      <formula>0.2</formula>
    </cfRule>
    <cfRule type="cellIs" dxfId="143" priority="21" operator="between">
      <formula>0.89</formula>
      <formula>0.5</formula>
    </cfRule>
    <cfRule type="cellIs" dxfId="142" priority="22" operator="between">
      <formula>1</formula>
      <formula>0.9</formula>
    </cfRule>
  </conditionalFormatting>
  <conditionalFormatting sqref="V14 Z14">
    <cfRule type="cellIs" dxfId="141" priority="8" operator="between">
      <formula>0.19</formula>
      <formula>0</formula>
    </cfRule>
    <cfRule type="cellIs" dxfId="140" priority="9" operator="between">
      <formula>0.49</formula>
      <formula>0.2</formula>
    </cfRule>
    <cfRule type="cellIs" dxfId="139" priority="10" operator="between">
      <formula>0.89</formula>
      <formula>0.5</formula>
    </cfRule>
    <cfRule type="cellIs" dxfId="138" priority="11" operator="between">
      <formula>1</formula>
      <formula>0.9</formula>
    </cfRule>
  </conditionalFormatting>
  <conditionalFormatting sqref="W7:W14">
    <cfRule type="containsText" dxfId="137" priority="12" operator="containsText" text="Incumple">
      <formula>NOT(ISERROR(SEARCH("Incumple",W7)))</formula>
    </cfRule>
    <cfRule type="containsText" dxfId="136" priority="13" operator="containsText" text="Cumple">
      <formula>NOT(ISERROR(SEARCH("Cumple",W7)))</formula>
    </cfRule>
  </conditionalFormatting>
  <conditionalFormatting sqref="W15">
    <cfRule type="cellIs" dxfId="135" priority="63" operator="between">
      <formula>0.19</formula>
      <formula>0</formula>
    </cfRule>
    <cfRule type="cellIs" dxfId="134" priority="64" operator="between">
      <formula>0.49</formula>
      <formula>0.2</formula>
    </cfRule>
    <cfRule type="cellIs" dxfId="133" priority="65" operator="between">
      <formula>0.89</formula>
      <formula>0.5</formula>
    </cfRule>
    <cfRule type="cellIs" dxfId="132" priority="66" operator="between">
      <formula>1</formula>
      <formula>0.9</formula>
    </cfRule>
  </conditionalFormatting>
  <conditionalFormatting sqref="AC7:AC15">
    <cfRule type="cellIs" dxfId="131" priority="5" operator="between">
      <formula>0.3</formula>
      <formula>0</formula>
    </cfRule>
    <cfRule type="cellIs" dxfId="130" priority="6" operator="between">
      <formula>0.6999</formula>
      <formula>0.3111</formula>
    </cfRule>
    <cfRule type="cellIs" dxfId="129" priority="7" operator="between">
      <formula>1</formula>
      <formula>0.7</formula>
    </cfRule>
  </conditionalFormatting>
  <dataValidations count="5">
    <dataValidation type="list" allowBlank="1" showInputMessage="1" showErrorMessage="1" errorTitle="Estado" error="No es un estado de los Planes de Mejoramiento" sqref="Q4:S4" xr:uid="{050728AC-FB71-41E5-A98E-9B5F43999706}">
      <formula1>$AW$4:$AW$7</formula1>
    </dataValidation>
    <dataValidation type="list" allowBlank="1" showInputMessage="1" showErrorMessage="1" sqref="B7:B14" xr:uid="{CB5E036A-9967-4F47-AF98-ED14C9E9B6E1}">
      <formula1>$AV$5:$AV$7</formula1>
    </dataValidation>
    <dataValidation type="list" allowBlank="1" showInputMessage="1" showErrorMessage="1" sqref="A7:A14" xr:uid="{970EA1F5-793C-4CF0-B902-9963DB047E97}">
      <formula1>$AP$4:$AP$13</formula1>
    </dataValidation>
    <dataValidation type="list" allowBlank="1" showInputMessage="1" showErrorMessage="1" sqref="J7:J14" xr:uid="{4D841531-64A2-477E-AF2A-CA91A16F6100}">
      <formula1>$AR$4:$AR$13</formula1>
    </dataValidation>
    <dataValidation type="list" allowBlank="1" showInputMessage="1" showErrorMessage="1" sqref="K7:K14" xr:uid="{F95F73B9-E1AE-4470-8FFD-BEBD2966145D}">
      <formula1>$AS$4:$AS$13</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B7F6-6DCB-494B-B3C6-1B77A4288063}">
  <sheetPr>
    <tabColor theme="0"/>
  </sheetPr>
  <dimension ref="A1:AV31"/>
  <sheetViews>
    <sheetView zoomScale="25" zoomScaleNormal="25" workbookViewId="0">
      <selection activeCell="F30" sqref="F7:F30"/>
    </sheetView>
  </sheetViews>
  <sheetFormatPr defaultColWidth="17.5703125" defaultRowHeight="12.75"/>
  <cols>
    <col min="1" max="1" width="12.140625" style="53" customWidth="1"/>
    <col min="2" max="2" width="11.42578125" style="53" customWidth="1"/>
    <col min="3" max="3" width="46.28515625" style="53" customWidth="1"/>
    <col min="4" max="4" width="44.140625" style="53" customWidth="1"/>
    <col min="5" max="5" width="36.7109375" style="53" customWidth="1"/>
    <col min="6" max="6" width="33.5703125" style="53" customWidth="1"/>
    <col min="7" max="7" width="32.85546875" style="53" customWidth="1"/>
    <col min="8" max="8" width="17.42578125" style="53" customWidth="1"/>
    <col min="9" max="9" width="26.5703125" style="53" customWidth="1"/>
    <col min="10" max="10" width="19.7109375" style="53" customWidth="1"/>
    <col min="11" max="11" width="21.42578125" style="53" customWidth="1"/>
    <col min="12" max="12" width="20.5703125" style="53" customWidth="1"/>
    <col min="13" max="13" width="18.140625" style="53" customWidth="1"/>
    <col min="14" max="14" width="20.28515625" style="53" customWidth="1"/>
    <col min="15" max="15" width="18" style="53" customWidth="1"/>
    <col min="16" max="16" width="19.7109375" style="53" customWidth="1"/>
    <col min="17" max="17" width="21" style="53" customWidth="1"/>
    <col min="18" max="18" width="23.7109375" style="53" customWidth="1"/>
    <col min="19" max="19" width="15.28515625" style="53" customWidth="1"/>
    <col min="20" max="20" width="17.85546875" style="53" customWidth="1"/>
    <col min="21" max="21" width="22" style="53" customWidth="1"/>
    <col min="22" max="22" width="21.5703125" style="53" customWidth="1"/>
    <col min="23" max="23" width="20.28515625" style="53" customWidth="1"/>
    <col min="24" max="24" width="109" style="53" customWidth="1"/>
    <col min="25" max="25" width="42.140625" style="53" customWidth="1"/>
    <col min="26" max="26" width="21.85546875" style="53" customWidth="1"/>
    <col min="27" max="27" width="18.85546875" style="53" customWidth="1"/>
    <col min="28" max="28" width="20.5703125" style="53" customWidth="1"/>
    <col min="29" max="29" width="21.140625" style="53" customWidth="1"/>
    <col min="30" max="30" width="72.42578125" style="53" customWidth="1"/>
    <col min="31" max="41" width="9.140625"/>
    <col min="42" max="42" width="28.5703125" hidden="1" customWidth="1"/>
    <col min="43" max="43" width="42" hidden="1" customWidth="1"/>
    <col min="44" max="44" width="0" hidden="1" customWidth="1"/>
    <col min="45" max="45" width="51.42578125" hidden="1" customWidth="1"/>
    <col min="46" max="46" width="8.5703125" hidden="1" customWidth="1"/>
    <col min="47" max="47" width="7.140625" hidden="1" customWidth="1"/>
    <col min="48" max="48" width="20.85546875" hidden="1" customWidth="1"/>
    <col min="49" max="49" width="0" hidden="1" customWidth="1"/>
    <col min="50" max="50" width="22.42578125" customWidth="1"/>
  </cols>
  <sheetData>
    <row r="1" spans="1:30" ht="118.5" customHeight="1" thickBot="1">
      <c r="A1" s="772" t="s">
        <v>0</v>
      </c>
      <c r="B1" s="772"/>
      <c r="C1" s="772" t="s">
        <v>155</v>
      </c>
      <c r="D1" s="772"/>
      <c r="E1" s="772"/>
      <c r="F1" s="772"/>
      <c r="G1" s="772"/>
      <c r="H1" s="772"/>
      <c r="I1" s="772"/>
      <c r="J1" s="772"/>
      <c r="K1" s="772"/>
      <c r="L1" s="772"/>
      <c r="M1" s="772"/>
      <c r="N1" s="772"/>
      <c r="O1" s="772"/>
      <c r="P1" s="772"/>
      <c r="Q1" s="772" t="s">
        <v>1</v>
      </c>
      <c r="R1" s="772"/>
      <c r="S1" s="772"/>
      <c r="T1" s="772"/>
      <c r="U1" s="772"/>
      <c r="V1" s="772"/>
      <c r="W1" s="772"/>
      <c r="X1" s="772"/>
      <c r="Y1" s="772"/>
      <c r="Z1" s="772" t="s">
        <v>1</v>
      </c>
      <c r="AA1" s="772"/>
      <c r="AB1" s="772"/>
      <c r="AC1" s="772"/>
      <c r="AD1" s="772"/>
    </row>
    <row r="2" spans="1:30" ht="15.75" customHeight="1" thickBot="1">
      <c r="A2" s="772" t="s">
        <v>1630</v>
      </c>
      <c r="B2" s="772"/>
      <c r="C2" s="772" t="s">
        <v>3</v>
      </c>
      <c r="D2" s="773"/>
      <c r="E2" s="773"/>
      <c r="F2" s="773"/>
      <c r="G2" s="772" t="s">
        <v>4</v>
      </c>
      <c r="H2" s="772"/>
      <c r="I2" s="772" t="s">
        <v>5</v>
      </c>
      <c r="J2" s="772"/>
      <c r="K2" s="772"/>
      <c r="L2" s="772"/>
      <c r="M2" s="772"/>
      <c r="N2" s="772"/>
      <c r="O2" s="772"/>
      <c r="P2" s="772"/>
      <c r="Q2" s="772"/>
      <c r="R2" s="772"/>
      <c r="S2" s="772"/>
      <c r="T2" s="772"/>
      <c r="U2" s="772"/>
      <c r="V2" s="772"/>
      <c r="W2" s="772"/>
      <c r="X2" s="772"/>
      <c r="Y2" s="772"/>
      <c r="Z2" s="772"/>
      <c r="AA2" s="772"/>
      <c r="AB2" s="772"/>
      <c r="AC2" s="772"/>
      <c r="AD2" s="772"/>
    </row>
    <row r="3" spans="1:30" ht="18" customHeight="1" thickBot="1">
      <c r="A3" s="771" t="s">
        <v>6</v>
      </c>
      <c r="B3" s="771"/>
      <c r="C3" s="772" t="s">
        <v>1631</v>
      </c>
      <c r="D3" s="772"/>
      <c r="E3" s="772"/>
      <c r="F3" s="772"/>
      <c r="G3" s="771" t="s">
        <v>8</v>
      </c>
      <c r="H3" s="771"/>
      <c r="I3" s="776">
        <v>43101</v>
      </c>
      <c r="J3" s="772"/>
      <c r="K3" s="772"/>
      <c r="L3" s="772"/>
      <c r="M3" s="772"/>
      <c r="N3" s="772"/>
      <c r="O3" s="771" t="s">
        <v>9</v>
      </c>
      <c r="P3" s="771"/>
      <c r="Q3" s="776"/>
      <c r="R3" s="776"/>
      <c r="S3" s="776"/>
      <c r="T3" s="776"/>
      <c r="U3" s="776"/>
      <c r="V3" s="776"/>
      <c r="W3" s="771" t="s">
        <v>10</v>
      </c>
      <c r="X3" s="771"/>
      <c r="Y3" s="277" t="s">
        <v>1632</v>
      </c>
      <c r="Z3" s="772"/>
      <c r="AA3" s="772"/>
      <c r="AB3" s="772"/>
      <c r="AC3" s="772"/>
      <c r="AD3" s="772"/>
    </row>
    <row r="4" spans="1:30" ht="18" customHeight="1" thickBot="1">
      <c r="A4" s="771" t="s">
        <v>12</v>
      </c>
      <c r="B4" s="771"/>
      <c r="C4" s="772" t="s">
        <v>1633</v>
      </c>
      <c r="D4" s="772"/>
      <c r="E4" s="772"/>
      <c r="F4" s="772"/>
      <c r="G4" s="771" t="s">
        <v>14</v>
      </c>
      <c r="H4" s="771"/>
      <c r="I4" s="776">
        <v>43956</v>
      </c>
      <c r="J4" s="776"/>
      <c r="K4" s="776"/>
      <c r="L4" s="776"/>
      <c r="M4" s="776"/>
      <c r="N4" s="776"/>
      <c r="O4" s="771" t="s">
        <v>15</v>
      </c>
      <c r="P4" s="771"/>
      <c r="Q4" s="772"/>
      <c r="R4" s="772"/>
      <c r="S4" s="772"/>
      <c r="T4" s="774" t="s">
        <v>17</v>
      </c>
      <c r="U4" s="774"/>
      <c r="V4" s="772"/>
      <c r="W4" s="772"/>
      <c r="X4" s="772"/>
      <c r="Y4" s="772"/>
      <c r="Z4" s="772"/>
      <c r="AA4" s="772"/>
      <c r="AB4" s="772"/>
      <c r="AC4" s="772"/>
      <c r="AD4" s="772"/>
    </row>
    <row r="5" spans="1:30" ht="20.25" customHeight="1" thickBot="1">
      <c r="A5" s="686" t="s">
        <v>18</v>
      </c>
      <c r="B5" s="687"/>
      <c r="C5" s="687"/>
      <c r="D5" s="687"/>
      <c r="E5" s="687"/>
      <c r="F5" s="687"/>
      <c r="G5" s="687"/>
      <c r="H5" s="687"/>
      <c r="I5" s="687"/>
      <c r="J5" s="687"/>
      <c r="K5" s="687"/>
      <c r="L5" s="687"/>
      <c r="M5" s="687"/>
      <c r="N5" s="688"/>
      <c r="O5" s="680" t="s">
        <v>19</v>
      </c>
      <c r="P5" s="681"/>
      <c r="Q5" s="681"/>
      <c r="R5" s="681"/>
      <c r="S5" s="681"/>
      <c r="T5" s="681"/>
      <c r="U5" s="681"/>
      <c r="V5" s="681"/>
      <c r="W5" s="681"/>
      <c r="X5" s="681"/>
      <c r="Y5" s="682"/>
      <c r="Z5" s="683" t="s">
        <v>20</v>
      </c>
      <c r="AA5" s="684"/>
      <c r="AB5" s="684"/>
      <c r="AC5" s="684"/>
      <c r="AD5" s="685"/>
    </row>
    <row r="6" spans="1:30" ht="117" customHeight="1" thickBot="1">
      <c r="A6" s="250" t="s">
        <v>21</v>
      </c>
      <c r="B6" s="250" t="s">
        <v>22</v>
      </c>
      <c r="C6" s="250" t="s">
        <v>770</v>
      </c>
      <c r="D6" s="250" t="s">
        <v>24</v>
      </c>
      <c r="E6" s="250" t="s">
        <v>25</v>
      </c>
      <c r="F6" s="250" t="s">
        <v>26</v>
      </c>
      <c r="G6" s="250" t="s">
        <v>27</v>
      </c>
      <c r="H6" s="250" t="s">
        <v>28</v>
      </c>
      <c r="I6" s="250" t="s">
        <v>29</v>
      </c>
      <c r="J6" s="250" t="s">
        <v>30</v>
      </c>
      <c r="K6" s="250" t="s">
        <v>31</v>
      </c>
      <c r="L6" s="250" t="s">
        <v>32</v>
      </c>
      <c r="M6" s="250" t="s">
        <v>33</v>
      </c>
      <c r="N6" s="250" t="s">
        <v>34</v>
      </c>
      <c r="O6" s="251" t="s">
        <v>35</v>
      </c>
      <c r="P6" s="251" t="s">
        <v>36</v>
      </c>
      <c r="Q6" s="251" t="s">
        <v>37</v>
      </c>
      <c r="R6" s="251" t="s">
        <v>38</v>
      </c>
      <c r="S6" s="251" t="s">
        <v>39</v>
      </c>
      <c r="T6" s="251" t="s">
        <v>40</v>
      </c>
      <c r="U6" s="251" t="s">
        <v>41</v>
      </c>
      <c r="V6" s="251" t="s">
        <v>42</v>
      </c>
      <c r="W6" s="251" t="s">
        <v>43</v>
      </c>
      <c r="X6" s="251" t="s">
        <v>44</v>
      </c>
      <c r="Y6" s="253" t="s">
        <v>45</v>
      </c>
      <c r="Z6" s="254" t="s">
        <v>46</v>
      </c>
      <c r="AA6" s="291" t="s">
        <v>771</v>
      </c>
      <c r="AB6" s="291" t="s">
        <v>48</v>
      </c>
      <c r="AC6" s="254" t="s">
        <v>49</v>
      </c>
      <c r="AD6" s="254" t="s">
        <v>50</v>
      </c>
    </row>
    <row r="7" spans="1:30" ht="315.75" customHeight="1" thickBot="1">
      <c r="A7" s="292" t="s">
        <v>52</v>
      </c>
      <c r="B7" s="292" t="s">
        <v>583</v>
      </c>
      <c r="C7" s="293" t="s">
        <v>1634</v>
      </c>
      <c r="D7" s="293" t="s">
        <v>1635</v>
      </c>
      <c r="E7" s="293" t="s">
        <v>1636</v>
      </c>
      <c r="F7" s="293" t="s">
        <v>1637</v>
      </c>
      <c r="G7" s="293" t="s">
        <v>1638</v>
      </c>
      <c r="H7" s="293">
        <v>1</v>
      </c>
      <c r="I7" s="293" t="s">
        <v>1639</v>
      </c>
      <c r="J7" s="293" t="s">
        <v>600</v>
      </c>
      <c r="K7" s="293" t="s">
        <v>778</v>
      </c>
      <c r="L7" s="293" t="s">
        <v>1640</v>
      </c>
      <c r="M7" s="294">
        <v>43101</v>
      </c>
      <c r="N7" s="293" t="s">
        <v>1641</v>
      </c>
      <c r="O7" s="281">
        <v>65</v>
      </c>
      <c r="P7" s="295">
        <v>45146</v>
      </c>
      <c r="Q7" s="295">
        <v>44631</v>
      </c>
      <c r="R7" s="296">
        <v>188</v>
      </c>
      <c r="S7" s="297" t="s">
        <v>1642</v>
      </c>
      <c r="T7" s="298">
        <v>1</v>
      </c>
      <c r="U7" s="299">
        <v>1</v>
      </c>
      <c r="V7" s="283">
        <v>0</v>
      </c>
      <c r="W7" s="296" t="s">
        <v>1643</v>
      </c>
      <c r="X7" s="300" t="s">
        <v>1644</v>
      </c>
      <c r="Y7" s="300" t="s">
        <v>1645</v>
      </c>
      <c r="Z7" s="301">
        <f>(U7+V7)/2</f>
        <v>0.5</v>
      </c>
      <c r="AA7" s="302">
        <v>1</v>
      </c>
      <c r="AB7" s="302">
        <v>1</v>
      </c>
      <c r="AC7" s="282">
        <f>AVERAGE(Z7:AB7)</f>
        <v>0.83333333333333337</v>
      </c>
      <c r="AD7" s="293" t="s">
        <v>1646</v>
      </c>
    </row>
    <row r="8" spans="1:30" ht="335.25" customHeight="1" thickBot="1">
      <c r="A8" s="292" t="s">
        <v>52</v>
      </c>
      <c r="B8" s="292" t="s">
        <v>583</v>
      </c>
      <c r="C8" s="293" t="s">
        <v>1634</v>
      </c>
      <c r="D8" s="293" t="s">
        <v>1635</v>
      </c>
      <c r="E8" s="293" t="s">
        <v>1636</v>
      </c>
      <c r="F8" s="293" t="s">
        <v>1647</v>
      </c>
      <c r="G8" s="293" t="s">
        <v>1648</v>
      </c>
      <c r="H8" s="293">
        <v>1</v>
      </c>
      <c r="I8" s="293" t="s">
        <v>1639</v>
      </c>
      <c r="J8" s="293" t="s">
        <v>600</v>
      </c>
      <c r="K8" s="293" t="s">
        <v>778</v>
      </c>
      <c r="L8" s="293" t="s">
        <v>1649</v>
      </c>
      <c r="M8" s="294">
        <v>43132</v>
      </c>
      <c r="N8" s="294">
        <v>43469</v>
      </c>
      <c r="O8" s="281">
        <v>65</v>
      </c>
      <c r="P8" s="295">
        <v>45146</v>
      </c>
      <c r="Q8" s="295">
        <v>44631</v>
      </c>
      <c r="R8" s="296">
        <v>187</v>
      </c>
      <c r="S8" s="297" t="s">
        <v>1642</v>
      </c>
      <c r="T8" s="298">
        <v>1</v>
      </c>
      <c r="U8" s="299">
        <v>1</v>
      </c>
      <c r="V8" s="283">
        <v>0</v>
      </c>
      <c r="W8" s="296" t="s">
        <v>1643</v>
      </c>
      <c r="X8" s="300" t="s">
        <v>1644</v>
      </c>
      <c r="Y8" s="300" t="s">
        <v>1650</v>
      </c>
      <c r="Z8" s="301">
        <f t="shared" ref="Z8:Z30" si="0">(U8+V8)/2</f>
        <v>0.5</v>
      </c>
      <c r="AA8" s="302">
        <v>1</v>
      </c>
      <c r="AB8" s="302">
        <v>1</v>
      </c>
      <c r="AC8" s="282">
        <f t="shared" ref="AC8:AC30" si="1">AVERAGE(Z8:AB8)</f>
        <v>0.83333333333333337</v>
      </c>
      <c r="AD8" s="293" t="s">
        <v>1646</v>
      </c>
    </row>
    <row r="9" spans="1:30" ht="334.5" customHeight="1" thickBot="1">
      <c r="A9" s="292" t="s">
        <v>52</v>
      </c>
      <c r="B9" s="292" t="s">
        <v>583</v>
      </c>
      <c r="C9" s="293" t="s">
        <v>1634</v>
      </c>
      <c r="D9" s="293" t="s">
        <v>1635</v>
      </c>
      <c r="E9" s="293" t="s">
        <v>1636</v>
      </c>
      <c r="F9" s="293" t="s">
        <v>1651</v>
      </c>
      <c r="G9" s="293" t="s">
        <v>1652</v>
      </c>
      <c r="H9" s="293">
        <v>1</v>
      </c>
      <c r="I9" s="293" t="s">
        <v>1639</v>
      </c>
      <c r="J9" s="293" t="s">
        <v>600</v>
      </c>
      <c r="K9" s="293" t="s">
        <v>778</v>
      </c>
      <c r="L9" s="293" t="s">
        <v>1653</v>
      </c>
      <c r="M9" s="294">
        <v>43160</v>
      </c>
      <c r="N9" s="294">
        <v>43500</v>
      </c>
      <c r="O9" s="281">
        <v>65</v>
      </c>
      <c r="P9" s="295">
        <v>45146</v>
      </c>
      <c r="Q9" s="295">
        <v>44631</v>
      </c>
      <c r="R9" s="296">
        <v>187</v>
      </c>
      <c r="S9" s="297" t="s">
        <v>1642</v>
      </c>
      <c r="T9" s="298">
        <v>1</v>
      </c>
      <c r="U9" s="299">
        <v>1</v>
      </c>
      <c r="V9" s="283">
        <v>0</v>
      </c>
      <c r="W9" s="296" t="s">
        <v>1643</v>
      </c>
      <c r="X9" s="300" t="s">
        <v>1644</v>
      </c>
      <c r="Y9" s="300" t="s">
        <v>1654</v>
      </c>
      <c r="Z9" s="301">
        <f t="shared" si="0"/>
        <v>0.5</v>
      </c>
      <c r="AA9" s="302">
        <v>0.8</v>
      </c>
      <c r="AB9" s="302">
        <v>1</v>
      </c>
      <c r="AC9" s="282">
        <f t="shared" si="1"/>
        <v>0.76666666666666661</v>
      </c>
      <c r="AD9" s="293" t="s">
        <v>1646</v>
      </c>
    </row>
    <row r="10" spans="1:30" ht="265.5" customHeight="1" thickBot="1">
      <c r="A10" s="292" t="s">
        <v>52</v>
      </c>
      <c r="B10" s="292" t="s">
        <v>583</v>
      </c>
      <c r="C10" s="293" t="s">
        <v>1634</v>
      </c>
      <c r="D10" s="293" t="s">
        <v>1635</v>
      </c>
      <c r="E10" s="293" t="s">
        <v>1636</v>
      </c>
      <c r="F10" s="293" t="s">
        <v>1655</v>
      </c>
      <c r="G10" s="293" t="s">
        <v>1656</v>
      </c>
      <c r="H10" s="293">
        <v>1</v>
      </c>
      <c r="I10" s="293" t="s">
        <v>1639</v>
      </c>
      <c r="J10" s="293" t="s">
        <v>600</v>
      </c>
      <c r="K10" s="293" t="s">
        <v>778</v>
      </c>
      <c r="L10" s="293" t="s">
        <v>1657</v>
      </c>
      <c r="M10" s="293" t="s">
        <v>61</v>
      </c>
      <c r="N10" s="293" t="s">
        <v>61</v>
      </c>
      <c r="O10" s="281">
        <v>0</v>
      </c>
      <c r="P10" s="295">
        <v>45146</v>
      </c>
      <c r="Q10" s="295">
        <v>44631</v>
      </c>
      <c r="R10" s="296">
        <v>6410</v>
      </c>
      <c r="S10" s="297" t="s">
        <v>1642</v>
      </c>
      <c r="T10" s="298">
        <v>1</v>
      </c>
      <c r="U10" s="299">
        <v>1</v>
      </c>
      <c r="V10" s="283">
        <v>0</v>
      </c>
      <c r="W10" s="296" t="s">
        <v>1643</v>
      </c>
      <c r="X10" s="300" t="s">
        <v>1644</v>
      </c>
      <c r="Y10" s="300" t="s">
        <v>1658</v>
      </c>
      <c r="Z10" s="301">
        <f t="shared" si="0"/>
        <v>0.5</v>
      </c>
      <c r="AA10" s="302">
        <v>0.8</v>
      </c>
      <c r="AB10" s="302">
        <v>1</v>
      </c>
      <c r="AC10" s="282">
        <f t="shared" si="1"/>
        <v>0.76666666666666661</v>
      </c>
      <c r="AD10" s="293" t="s">
        <v>1646</v>
      </c>
    </row>
    <row r="11" spans="1:30" ht="279" customHeight="1" thickBot="1">
      <c r="A11" s="292" t="s">
        <v>52</v>
      </c>
      <c r="B11" s="292" t="s">
        <v>583</v>
      </c>
      <c r="C11" s="293" t="s">
        <v>1634</v>
      </c>
      <c r="D11" s="293" t="s">
        <v>1635</v>
      </c>
      <c r="E11" s="293" t="s">
        <v>1636</v>
      </c>
      <c r="F11" s="293" t="s">
        <v>1659</v>
      </c>
      <c r="G11" s="293" t="s">
        <v>1660</v>
      </c>
      <c r="H11" s="293">
        <v>1</v>
      </c>
      <c r="I11" s="293" t="s">
        <v>1639</v>
      </c>
      <c r="J11" s="293" t="s">
        <v>600</v>
      </c>
      <c r="K11" s="293" t="s">
        <v>778</v>
      </c>
      <c r="L11" s="293" t="s">
        <v>1661</v>
      </c>
      <c r="M11" s="294">
        <v>43191</v>
      </c>
      <c r="N11" s="294">
        <v>43528</v>
      </c>
      <c r="O11" s="281">
        <v>65</v>
      </c>
      <c r="P11" s="295">
        <v>45146</v>
      </c>
      <c r="Q11" s="295">
        <v>44631</v>
      </c>
      <c r="R11" s="296">
        <v>187</v>
      </c>
      <c r="S11" s="297" t="s">
        <v>1642</v>
      </c>
      <c r="T11" s="298">
        <v>1</v>
      </c>
      <c r="U11" s="299">
        <v>1</v>
      </c>
      <c r="V11" s="283">
        <v>0</v>
      </c>
      <c r="W11" s="296" t="s">
        <v>1643</v>
      </c>
      <c r="X11" s="300" t="s">
        <v>1644</v>
      </c>
      <c r="Y11" s="300" t="s">
        <v>1662</v>
      </c>
      <c r="Z11" s="301">
        <f t="shared" si="0"/>
        <v>0.5</v>
      </c>
      <c r="AA11" s="302">
        <v>0.8</v>
      </c>
      <c r="AB11" s="302">
        <v>0.9</v>
      </c>
      <c r="AC11" s="282">
        <f t="shared" si="1"/>
        <v>0.73333333333333339</v>
      </c>
      <c r="AD11" s="293" t="s">
        <v>1646</v>
      </c>
    </row>
    <row r="12" spans="1:30" ht="306" customHeight="1" thickBot="1">
      <c r="A12" s="292" t="s">
        <v>52</v>
      </c>
      <c r="B12" s="292" t="s">
        <v>583</v>
      </c>
      <c r="C12" s="293" t="s">
        <v>1663</v>
      </c>
      <c r="D12" s="293" t="s">
        <v>1664</v>
      </c>
      <c r="E12" s="293" t="s">
        <v>1636</v>
      </c>
      <c r="F12" s="293" t="s">
        <v>1665</v>
      </c>
      <c r="G12" s="293" t="s">
        <v>1666</v>
      </c>
      <c r="H12" s="293">
        <v>1</v>
      </c>
      <c r="I12" s="293" t="s">
        <v>1667</v>
      </c>
      <c r="J12" s="293" t="s">
        <v>695</v>
      </c>
      <c r="K12" s="293" t="s">
        <v>778</v>
      </c>
      <c r="L12" s="293" t="s">
        <v>1668</v>
      </c>
      <c r="M12" s="294">
        <v>43621</v>
      </c>
      <c r="N12" s="294">
        <v>43592</v>
      </c>
      <c r="O12" s="281">
        <v>9</v>
      </c>
      <c r="P12" s="295">
        <v>45146</v>
      </c>
      <c r="Q12" s="295">
        <v>44631</v>
      </c>
      <c r="R12" s="296">
        <v>174</v>
      </c>
      <c r="S12" s="297" t="s">
        <v>1642</v>
      </c>
      <c r="T12" s="298">
        <v>1</v>
      </c>
      <c r="U12" s="299">
        <v>1</v>
      </c>
      <c r="V12" s="283">
        <v>0</v>
      </c>
      <c r="W12" s="296" t="s">
        <v>1643</v>
      </c>
      <c r="X12" s="300" t="s">
        <v>1669</v>
      </c>
      <c r="Y12" s="300" t="s">
        <v>1670</v>
      </c>
      <c r="Z12" s="301">
        <f t="shared" si="0"/>
        <v>0.5</v>
      </c>
      <c r="AA12" s="302">
        <v>1</v>
      </c>
      <c r="AB12" s="302">
        <v>0.8</v>
      </c>
      <c r="AC12" s="282">
        <f t="shared" si="1"/>
        <v>0.76666666666666661</v>
      </c>
      <c r="AD12" s="293" t="s">
        <v>1671</v>
      </c>
    </row>
    <row r="13" spans="1:30" ht="306.75" customHeight="1" thickBot="1">
      <c r="A13" s="292" t="s">
        <v>52</v>
      </c>
      <c r="B13" s="292" t="s">
        <v>583</v>
      </c>
      <c r="C13" s="293" t="s">
        <v>1663</v>
      </c>
      <c r="D13" s="293" t="s">
        <v>1664</v>
      </c>
      <c r="E13" s="293" t="s">
        <v>1672</v>
      </c>
      <c r="F13" s="293" t="s">
        <v>1673</v>
      </c>
      <c r="G13" s="293" t="s">
        <v>1674</v>
      </c>
      <c r="H13" s="293">
        <v>1</v>
      </c>
      <c r="I13" s="293" t="s">
        <v>1667</v>
      </c>
      <c r="J13" s="293" t="s">
        <v>600</v>
      </c>
      <c r="K13" s="293" t="s">
        <v>778</v>
      </c>
      <c r="L13" s="293" t="s">
        <v>1675</v>
      </c>
      <c r="M13" s="294">
        <v>43621</v>
      </c>
      <c r="N13" s="294">
        <v>43592</v>
      </c>
      <c r="O13" s="281">
        <v>9</v>
      </c>
      <c r="P13" s="295">
        <v>45146</v>
      </c>
      <c r="Q13" s="295">
        <v>44631</v>
      </c>
      <c r="R13" s="296">
        <v>174</v>
      </c>
      <c r="S13" s="297" t="s">
        <v>1642</v>
      </c>
      <c r="T13" s="298">
        <v>1</v>
      </c>
      <c r="U13" s="299">
        <v>1</v>
      </c>
      <c r="V13" s="283">
        <v>0</v>
      </c>
      <c r="W13" s="296" t="s">
        <v>1643</v>
      </c>
      <c r="X13" s="300" t="s">
        <v>1669</v>
      </c>
      <c r="Y13" s="300" t="s">
        <v>1676</v>
      </c>
      <c r="Z13" s="301">
        <f t="shared" si="0"/>
        <v>0.5</v>
      </c>
      <c r="AA13" s="302">
        <v>1</v>
      </c>
      <c r="AB13" s="302">
        <v>0.6</v>
      </c>
      <c r="AC13" s="282">
        <f t="shared" si="1"/>
        <v>0.70000000000000007</v>
      </c>
      <c r="AD13" s="293" t="s">
        <v>1677</v>
      </c>
    </row>
    <row r="14" spans="1:30" ht="257.25" thickBot="1">
      <c r="A14" s="292" t="s">
        <v>52</v>
      </c>
      <c r="B14" s="292" t="s">
        <v>583</v>
      </c>
      <c r="C14" s="293" t="s">
        <v>1663</v>
      </c>
      <c r="D14" s="293" t="s">
        <v>1664</v>
      </c>
      <c r="E14" s="293" t="s">
        <v>1672</v>
      </c>
      <c r="F14" s="293" t="s">
        <v>1678</v>
      </c>
      <c r="G14" s="293" t="s">
        <v>1679</v>
      </c>
      <c r="H14" s="293">
        <v>1</v>
      </c>
      <c r="I14" s="293" t="s">
        <v>1667</v>
      </c>
      <c r="J14" s="293" t="s">
        <v>600</v>
      </c>
      <c r="K14" s="293" t="s">
        <v>778</v>
      </c>
      <c r="L14" s="293" t="s">
        <v>1680</v>
      </c>
      <c r="M14" s="294">
        <v>43621</v>
      </c>
      <c r="N14" s="294">
        <v>43592</v>
      </c>
      <c r="O14" s="281">
        <v>9</v>
      </c>
      <c r="P14" s="295">
        <v>45146</v>
      </c>
      <c r="Q14" s="295">
        <v>44631</v>
      </c>
      <c r="R14" s="296">
        <v>174</v>
      </c>
      <c r="S14" s="297" t="s">
        <v>1642</v>
      </c>
      <c r="T14" s="298">
        <v>1</v>
      </c>
      <c r="U14" s="299">
        <v>1</v>
      </c>
      <c r="V14" s="283">
        <v>0</v>
      </c>
      <c r="W14" s="296" t="s">
        <v>1643</v>
      </c>
      <c r="X14" s="300" t="s">
        <v>1669</v>
      </c>
      <c r="Y14" s="300" t="s">
        <v>1662</v>
      </c>
      <c r="Z14" s="301">
        <f t="shared" si="0"/>
        <v>0.5</v>
      </c>
      <c r="AA14" s="302">
        <v>1</v>
      </c>
      <c r="AB14" s="302">
        <v>0.8</v>
      </c>
      <c r="AC14" s="282">
        <f t="shared" si="1"/>
        <v>0.76666666666666661</v>
      </c>
      <c r="AD14" s="293" t="s">
        <v>1681</v>
      </c>
    </row>
    <row r="15" spans="1:30" ht="291" customHeight="1" thickBot="1">
      <c r="A15" s="292" t="s">
        <v>52</v>
      </c>
      <c r="B15" s="292" t="s">
        <v>583</v>
      </c>
      <c r="C15" s="293" t="s">
        <v>1682</v>
      </c>
      <c r="D15" s="293" t="s">
        <v>1683</v>
      </c>
      <c r="E15" s="293" t="s">
        <v>1684</v>
      </c>
      <c r="F15" s="293" t="s">
        <v>1685</v>
      </c>
      <c r="G15" s="293" t="s">
        <v>1686</v>
      </c>
      <c r="H15" s="293">
        <v>1</v>
      </c>
      <c r="I15" s="293" t="s">
        <v>1639</v>
      </c>
      <c r="J15" s="293" t="s">
        <v>695</v>
      </c>
      <c r="K15" s="293" t="s">
        <v>778</v>
      </c>
      <c r="L15" s="293" t="s">
        <v>1687</v>
      </c>
      <c r="M15" s="294">
        <v>43621</v>
      </c>
      <c r="N15" s="293" t="s">
        <v>1262</v>
      </c>
      <c r="O15" s="281">
        <v>25</v>
      </c>
      <c r="P15" s="295">
        <v>45146</v>
      </c>
      <c r="Q15" s="295">
        <v>44631</v>
      </c>
      <c r="R15" s="296">
        <v>157</v>
      </c>
      <c r="S15" s="297" t="s">
        <v>1642</v>
      </c>
      <c r="T15" s="298" t="s">
        <v>1688</v>
      </c>
      <c r="U15" s="301">
        <v>1</v>
      </c>
      <c r="V15" s="283">
        <v>0</v>
      </c>
      <c r="W15" s="296" t="s">
        <v>1643</v>
      </c>
      <c r="X15" s="293" t="s">
        <v>1689</v>
      </c>
      <c r="Y15" s="293" t="s">
        <v>1690</v>
      </c>
      <c r="Z15" s="301">
        <f t="shared" si="0"/>
        <v>0.5</v>
      </c>
      <c r="AA15" s="302">
        <v>1</v>
      </c>
      <c r="AB15" s="302">
        <v>1</v>
      </c>
      <c r="AC15" s="282">
        <f t="shared" si="1"/>
        <v>0.83333333333333337</v>
      </c>
      <c r="AD15" s="293" t="s">
        <v>1691</v>
      </c>
    </row>
    <row r="16" spans="1:30" ht="100.5" thickBot="1">
      <c r="A16" s="292" t="s">
        <v>52</v>
      </c>
      <c r="B16" s="292" t="s">
        <v>583</v>
      </c>
      <c r="C16" s="293" t="s">
        <v>1682</v>
      </c>
      <c r="D16" s="293" t="s">
        <v>1683</v>
      </c>
      <c r="E16" s="293" t="s">
        <v>1684</v>
      </c>
      <c r="F16" s="293" t="s">
        <v>1692</v>
      </c>
      <c r="G16" s="293" t="s">
        <v>1693</v>
      </c>
      <c r="H16" s="293">
        <v>1</v>
      </c>
      <c r="I16" s="293" t="s">
        <v>1639</v>
      </c>
      <c r="J16" s="293" t="s">
        <v>1314</v>
      </c>
      <c r="K16" s="293" t="s">
        <v>778</v>
      </c>
      <c r="L16" s="293" t="s">
        <v>1694</v>
      </c>
      <c r="M16" s="294">
        <v>43374</v>
      </c>
      <c r="N16" s="294">
        <v>43712</v>
      </c>
      <c r="O16" s="281">
        <v>65</v>
      </c>
      <c r="P16" s="295">
        <v>45146</v>
      </c>
      <c r="Q16" s="295">
        <v>44631</v>
      </c>
      <c r="R16" s="296">
        <v>186</v>
      </c>
      <c r="S16" s="297" t="s">
        <v>1642</v>
      </c>
      <c r="T16" s="298">
        <v>1</v>
      </c>
      <c r="U16" s="299">
        <v>1</v>
      </c>
      <c r="V16" s="283">
        <v>0</v>
      </c>
      <c r="W16" s="296" t="s">
        <v>1643</v>
      </c>
      <c r="X16" s="293" t="s">
        <v>1695</v>
      </c>
      <c r="Y16" s="293" t="s">
        <v>1690</v>
      </c>
      <c r="Z16" s="301">
        <f t="shared" si="0"/>
        <v>0.5</v>
      </c>
      <c r="AA16" s="302">
        <v>1</v>
      </c>
      <c r="AB16" s="302">
        <v>0.6</v>
      </c>
      <c r="AC16" s="282">
        <f t="shared" si="1"/>
        <v>0.70000000000000007</v>
      </c>
      <c r="AD16" s="293" t="s">
        <v>1696</v>
      </c>
    </row>
    <row r="17" spans="1:30" ht="271.5" thickBot="1">
      <c r="A17" s="292" t="s">
        <v>52</v>
      </c>
      <c r="B17" s="292" t="s">
        <v>583</v>
      </c>
      <c r="C17" s="293" t="s">
        <v>1682</v>
      </c>
      <c r="D17" s="293" t="s">
        <v>1683</v>
      </c>
      <c r="E17" s="293" t="s">
        <v>1684</v>
      </c>
      <c r="F17" s="293" t="s">
        <v>1697</v>
      </c>
      <c r="G17" s="293" t="s">
        <v>1698</v>
      </c>
      <c r="H17" s="293">
        <v>1</v>
      </c>
      <c r="I17" s="293" t="s">
        <v>1639</v>
      </c>
      <c r="J17" s="293" t="s">
        <v>1314</v>
      </c>
      <c r="K17" s="293" t="s">
        <v>778</v>
      </c>
      <c r="L17" s="293" t="s">
        <v>1699</v>
      </c>
      <c r="M17" s="294">
        <v>43621</v>
      </c>
      <c r="N17" s="303">
        <v>43956</v>
      </c>
      <c r="O17" s="281">
        <v>52</v>
      </c>
      <c r="P17" s="295">
        <v>45146</v>
      </c>
      <c r="Q17" s="295">
        <v>44631</v>
      </c>
      <c r="R17" s="296">
        <v>130</v>
      </c>
      <c r="S17" s="297" t="s">
        <v>1642</v>
      </c>
      <c r="T17" s="298">
        <v>1</v>
      </c>
      <c r="U17" s="299">
        <v>1</v>
      </c>
      <c r="V17" s="283">
        <v>0</v>
      </c>
      <c r="W17" s="296" t="s">
        <v>1643</v>
      </c>
      <c r="X17" s="293" t="s">
        <v>1700</v>
      </c>
      <c r="Y17" s="293" t="s">
        <v>1701</v>
      </c>
      <c r="Z17" s="301">
        <f t="shared" si="0"/>
        <v>0.5</v>
      </c>
      <c r="AA17" s="302">
        <v>1</v>
      </c>
      <c r="AB17" s="302">
        <v>0.8</v>
      </c>
      <c r="AC17" s="282">
        <f t="shared" si="1"/>
        <v>0.76666666666666661</v>
      </c>
      <c r="AD17" s="293" t="s">
        <v>1681</v>
      </c>
    </row>
    <row r="18" spans="1:30" ht="72" thickBot="1">
      <c r="A18" s="292" t="s">
        <v>52</v>
      </c>
      <c r="B18" s="292" t="s">
        <v>583</v>
      </c>
      <c r="C18" s="293" t="s">
        <v>1682</v>
      </c>
      <c r="D18" s="293" t="s">
        <v>1683</v>
      </c>
      <c r="E18" s="293" t="s">
        <v>1684</v>
      </c>
      <c r="F18" s="293" t="s">
        <v>1702</v>
      </c>
      <c r="G18" s="293" t="s">
        <v>1703</v>
      </c>
      <c r="H18" s="293">
        <v>1</v>
      </c>
      <c r="I18" s="293" t="s">
        <v>1639</v>
      </c>
      <c r="J18" s="293" t="s">
        <v>695</v>
      </c>
      <c r="K18" s="293" t="s">
        <v>778</v>
      </c>
      <c r="L18" s="293" t="s">
        <v>1704</v>
      </c>
      <c r="M18" s="294">
        <v>43621</v>
      </c>
      <c r="N18" s="293" t="s">
        <v>1705</v>
      </c>
      <c r="O18" s="281">
        <v>3</v>
      </c>
      <c r="P18" s="295">
        <v>45146</v>
      </c>
      <c r="Q18" s="295">
        <v>44631</v>
      </c>
      <c r="R18" s="296">
        <v>179</v>
      </c>
      <c r="S18" s="297" t="s">
        <v>1642</v>
      </c>
      <c r="T18" s="298" t="s">
        <v>1688</v>
      </c>
      <c r="U18" s="301">
        <v>1</v>
      </c>
      <c r="V18" s="283">
        <v>0</v>
      </c>
      <c r="W18" s="296" t="s">
        <v>1643</v>
      </c>
      <c r="X18" s="293" t="s">
        <v>1706</v>
      </c>
      <c r="Y18" s="293" t="s">
        <v>1690</v>
      </c>
      <c r="Z18" s="301">
        <f t="shared" si="0"/>
        <v>0.5</v>
      </c>
      <c r="AA18" s="302">
        <v>1</v>
      </c>
      <c r="AB18" s="302">
        <v>1</v>
      </c>
      <c r="AC18" s="282">
        <f t="shared" si="1"/>
        <v>0.83333333333333337</v>
      </c>
      <c r="AD18" s="293" t="s">
        <v>1707</v>
      </c>
    </row>
    <row r="19" spans="1:30" ht="100.5" thickBot="1">
      <c r="A19" s="292" t="s">
        <v>52</v>
      </c>
      <c r="B19" s="292" t="s">
        <v>583</v>
      </c>
      <c r="C19" s="293" t="s">
        <v>1682</v>
      </c>
      <c r="D19" s="293" t="s">
        <v>1683</v>
      </c>
      <c r="E19" s="293" t="s">
        <v>1684</v>
      </c>
      <c r="F19" s="293" t="s">
        <v>1708</v>
      </c>
      <c r="G19" s="293" t="s">
        <v>1709</v>
      </c>
      <c r="H19" s="293">
        <v>1</v>
      </c>
      <c r="I19" s="293" t="s">
        <v>1639</v>
      </c>
      <c r="J19" s="293" t="s">
        <v>600</v>
      </c>
      <c r="K19" s="293" t="s">
        <v>778</v>
      </c>
      <c r="L19" s="293" t="s">
        <v>1710</v>
      </c>
      <c r="M19" s="294">
        <v>43621</v>
      </c>
      <c r="N19" s="303">
        <v>43956</v>
      </c>
      <c r="O19" s="281">
        <v>52</v>
      </c>
      <c r="P19" s="295">
        <v>45146</v>
      </c>
      <c r="Q19" s="295">
        <v>44631</v>
      </c>
      <c r="R19" s="296">
        <v>130</v>
      </c>
      <c r="S19" s="297" t="s">
        <v>1642</v>
      </c>
      <c r="T19" s="298">
        <v>1</v>
      </c>
      <c r="U19" s="299">
        <v>1</v>
      </c>
      <c r="V19" s="283">
        <v>0</v>
      </c>
      <c r="W19" s="296" t="s">
        <v>1643</v>
      </c>
      <c r="X19" s="293" t="s">
        <v>1706</v>
      </c>
      <c r="Y19" s="293" t="s">
        <v>1690</v>
      </c>
      <c r="Z19" s="301">
        <f t="shared" si="0"/>
        <v>0.5</v>
      </c>
      <c r="AA19" s="302">
        <v>1</v>
      </c>
      <c r="AB19" s="302">
        <v>1</v>
      </c>
      <c r="AC19" s="282">
        <f t="shared" si="1"/>
        <v>0.83333333333333337</v>
      </c>
      <c r="AD19" s="293" t="s">
        <v>1711</v>
      </c>
    </row>
    <row r="20" spans="1:30" ht="171.75" thickBot="1">
      <c r="A20" s="292" t="s">
        <v>52</v>
      </c>
      <c r="B20" s="292" t="s">
        <v>583</v>
      </c>
      <c r="C20" s="293" t="s">
        <v>1712</v>
      </c>
      <c r="D20" s="293" t="s">
        <v>1713</v>
      </c>
      <c r="E20" s="293" t="s">
        <v>1714</v>
      </c>
      <c r="F20" s="293" t="s">
        <v>1715</v>
      </c>
      <c r="G20" s="293" t="s">
        <v>1716</v>
      </c>
      <c r="H20" s="293">
        <v>2</v>
      </c>
      <c r="I20" s="293" t="s">
        <v>1717</v>
      </c>
      <c r="J20" s="293" t="s">
        <v>1350</v>
      </c>
      <c r="K20" s="293" t="s">
        <v>778</v>
      </c>
      <c r="L20" s="293" t="s">
        <v>1718</v>
      </c>
      <c r="M20" s="294">
        <v>43621</v>
      </c>
      <c r="N20" s="303">
        <v>43956</v>
      </c>
      <c r="O20" s="281">
        <v>52</v>
      </c>
      <c r="P20" s="295">
        <v>45146</v>
      </c>
      <c r="Q20" s="295">
        <v>44631</v>
      </c>
      <c r="R20" s="296">
        <v>130</v>
      </c>
      <c r="S20" s="297" t="s">
        <v>1642</v>
      </c>
      <c r="T20" s="298">
        <v>2</v>
      </c>
      <c r="U20" s="299">
        <v>1</v>
      </c>
      <c r="V20" s="283">
        <v>0</v>
      </c>
      <c r="W20" s="296" t="s">
        <v>1643</v>
      </c>
      <c r="X20" s="300" t="s">
        <v>1719</v>
      </c>
      <c r="Y20" s="293" t="s">
        <v>1720</v>
      </c>
      <c r="Z20" s="301">
        <f t="shared" si="0"/>
        <v>0.5</v>
      </c>
      <c r="AA20" s="304">
        <v>1</v>
      </c>
      <c r="AB20" s="304">
        <v>0.8</v>
      </c>
      <c r="AC20" s="282">
        <f t="shared" si="1"/>
        <v>0.76666666666666661</v>
      </c>
      <c r="AD20" s="293" t="s">
        <v>1721</v>
      </c>
    </row>
    <row r="21" spans="1:30" ht="271.5" thickBot="1">
      <c r="A21" s="292" t="s">
        <v>52</v>
      </c>
      <c r="B21" s="292" t="s">
        <v>583</v>
      </c>
      <c r="C21" s="293" t="s">
        <v>1712</v>
      </c>
      <c r="D21" s="293" t="s">
        <v>1713</v>
      </c>
      <c r="E21" s="293" t="s">
        <v>1714</v>
      </c>
      <c r="F21" s="293" t="s">
        <v>1722</v>
      </c>
      <c r="G21" s="293" t="s">
        <v>1723</v>
      </c>
      <c r="H21" s="293">
        <v>1</v>
      </c>
      <c r="I21" s="293" t="s">
        <v>1717</v>
      </c>
      <c r="J21" s="293" t="s">
        <v>600</v>
      </c>
      <c r="K21" s="293" t="s">
        <v>778</v>
      </c>
      <c r="L21" s="293" t="s">
        <v>1724</v>
      </c>
      <c r="M21" s="294">
        <v>43621</v>
      </c>
      <c r="N21" s="294">
        <v>43622</v>
      </c>
      <c r="O21" s="281">
        <v>4</v>
      </c>
      <c r="P21" s="295">
        <v>45146</v>
      </c>
      <c r="Q21" s="295">
        <v>44631</v>
      </c>
      <c r="R21" s="296">
        <v>178</v>
      </c>
      <c r="S21" s="297" t="s">
        <v>1642</v>
      </c>
      <c r="T21" s="298">
        <v>1</v>
      </c>
      <c r="U21" s="301">
        <v>1</v>
      </c>
      <c r="V21" s="283">
        <v>0</v>
      </c>
      <c r="W21" s="296" t="s">
        <v>1643</v>
      </c>
      <c r="X21" s="293" t="s">
        <v>1719</v>
      </c>
      <c r="Y21" s="293" t="s">
        <v>1725</v>
      </c>
      <c r="Z21" s="301">
        <f t="shared" si="0"/>
        <v>0.5</v>
      </c>
      <c r="AA21" s="304">
        <v>1</v>
      </c>
      <c r="AB21" s="304">
        <v>0.8</v>
      </c>
      <c r="AC21" s="282">
        <f t="shared" si="1"/>
        <v>0.76666666666666661</v>
      </c>
      <c r="AD21" s="293" t="s">
        <v>1726</v>
      </c>
    </row>
    <row r="22" spans="1:30" ht="271.5" thickBot="1">
      <c r="A22" s="292" t="s">
        <v>52</v>
      </c>
      <c r="B22" s="292" t="s">
        <v>583</v>
      </c>
      <c r="C22" s="293" t="s">
        <v>1712</v>
      </c>
      <c r="D22" s="293" t="s">
        <v>1713</v>
      </c>
      <c r="E22" s="293" t="s">
        <v>1714</v>
      </c>
      <c r="F22" s="293" t="s">
        <v>1727</v>
      </c>
      <c r="G22" s="293" t="s">
        <v>1728</v>
      </c>
      <c r="H22" s="293">
        <v>1</v>
      </c>
      <c r="I22" s="293" t="s">
        <v>1717</v>
      </c>
      <c r="J22" s="293" t="s">
        <v>600</v>
      </c>
      <c r="K22" s="293" t="s">
        <v>778</v>
      </c>
      <c r="L22" s="293" t="s">
        <v>1729</v>
      </c>
      <c r="M22" s="294">
        <v>43621</v>
      </c>
      <c r="N22" s="303">
        <v>43956</v>
      </c>
      <c r="O22" s="281">
        <v>52</v>
      </c>
      <c r="P22" s="295">
        <v>45146</v>
      </c>
      <c r="Q22" s="295">
        <v>44631</v>
      </c>
      <c r="R22" s="296">
        <v>130</v>
      </c>
      <c r="S22" s="297" t="s">
        <v>1642</v>
      </c>
      <c r="T22" s="298" t="s">
        <v>1730</v>
      </c>
      <c r="U22" s="280">
        <v>1</v>
      </c>
      <c r="V22" s="283">
        <v>0</v>
      </c>
      <c r="W22" s="296" t="s">
        <v>1643</v>
      </c>
      <c r="X22" s="293" t="s">
        <v>1719</v>
      </c>
      <c r="Y22" s="293" t="s">
        <v>1725</v>
      </c>
      <c r="Z22" s="301">
        <f t="shared" si="0"/>
        <v>0.5</v>
      </c>
      <c r="AA22" s="304">
        <v>0.8</v>
      </c>
      <c r="AB22" s="304">
        <v>0.8</v>
      </c>
      <c r="AC22" s="282">
        <f t="shared" si="1"/>
        <v>0.70000000000000007</v>
      </c>
      <c r="AD22" s="293" t="s">
        <v>1731</v>
      </c>
    </row>
    <row r="23" spans="1:30" ht="342.75" thickBot="1">
      <c r="A23" s="292" t="s">
        <v>52</v>
      </c>
      <c r="B23" s="292" t="s">
        <v>583</v>
      </c>
      <c r="C23" s="300" t="s">
        <v>1732</v>
      </c>
      <c r="D23" s="300" t="s">
        <v>1733</v>
      </c>
      <c r="E23" s="300" t="s">
        <v>1734</v>
      </c>
      <c r="F23" s="293" t="s">
        <v>1735</v>
      </c>
      <c r="G23" s="293" t="s">
        <v>1736</v>
      </c>
      <c r="H23" s="293">
        <v>1</v>
      </c>
      <c r="I23" s="293" t="s">
        <v>1737</v>
      </c>
      <c r="J23" s="293" t="s">
        <v>1350</v>
      </c>
      <c r="K23" s="293" t="s">
        <v>778</v>
      </c>
      <c r="L23" s="293" t="s">
        <v>1738</v>
      </c>
      <c r="M23" s="294">
        <v>43621</v>
      </c>
      <c r="N23" s="294">
        <v>43652</v>
      </c>
      <c r="O23" s="281">
        <v>5</v>
      </c>
      <c r="P23" s="295">
        <v>45146</v>
      </c>
      <c r="Q23" s="295">
        <v>44631</v>
      </c>
      <c r="R23" s="296">
        <v>178</v>
      </c>
      <c r="S23" s="297" t="s">
        <v>1642</v>
      </c>
      <c r="T23" s="298">
        <v>1</v>
      </c>
      <c r="U23" s="283">
        <v>1</v>
      </c>
      <c r="V23" s="283">
        <v>0</v>
      </c>
      <c r="W23" s="296" t="s">
        <v>1643</v>
      </c>
      <c r="X23" s="300" t="s">
        <v>1739</v>
      </c>
      <c r="Y23" s="300" t="s">
        <v>1740</v>
      </c>
      <c r="Z23" s="301">
        <f t="shared" si="0"/>
        <v>0.5</v>
      </c>
      <c r="AA23" s="304">
        <v>1</v>
      </c>
      <c r="AB23" s="304">
        <v>1</v>
      </c>
      <c r="AC23" s="282">
        <f t="shared" si="1"/>
        <v>0.83333333333333337</v>
      </c>
      <c r="AD23" s="293" t="s">
        <v>1741</v>
      </c>
    </row>
    <row r="24" spans="1:30" ht="342.75" thickBot="1">
      <c r="A24" s="292" t="s">
        <v>52</v>
      </c>
      <c r="B24" s="292" t="s">
        <v>583</v>
      </c>
      <c r="C24" s="300" t="s">
        <v>1732</v>
      </c>
      <c r="D24" s="300" t="s">
        <v>1733</v>
      </c>
      <c r="E24" s="300" t="s">
        <v>1734</v>
      </c>
      <c r="F24" s="293" t="s">
        <v>1742</v>
      </c>
      <c r="G24" s="293" t="s">
        <v>1743</v>
      </c>
      <c r="H24" s="293">
        <v>1</v>
      </c>
      <c r="I24" s="293" t="s">
        <v>1737</v>
      </c>
      <c r="J24" s="293" t="s">
        <v>600</v>
      </c>
      <c r="K24" s="293" t="s">
        <v>778</v>
      </c>
      <c r="L24" s="293" t="s">
        <v>1744</v>
      </c>
      <c r="M24" s="294">
        <v>43621</v>
      </c>
      <c r="N24" s="294">
        <v>43987</v>
      </c>
      <c r="O24" s="281">
        <v>52</v>
      </c>
      <c r="P24" s="295">
        <v>45146</v>
      </c>
      <c r="Q24" s="295">
        <v>44631</v>
      </c>
      <c r="R24" s="296">
        <v>130</v>
      </c>
      <c r="S24" s="297" t="s">
        <v>1642</v>
      </c>
      <c r="T24" s="298">
        <v>1</v>
      </c>
      <c r="U24" s="283">
        <v>1</v>
      </c>
      <c r="V24" s="283">
        <v>0</v>
      </c>
      <c r="W24" s="296" t="s">
        <v>1643</v>
      </c>
      <c r="X24" s="300" t="s">
        <v>1739</v>
      </c>
      <c r="Y24" s="300" t="s">
        <v>1740</v>
      </c>
      <c r="Z24" s="301">
        <f t="shared" si="0"/>
        <v>0.5</v>
      </c>
      <c r="AA24" s="304">
        <v>1</v>
      </c>
      <c r="AB24" s="304">
        <v>1</v>
      </c>
      <c r="AC24" s="282">
        <f t="shared" si="1"/>
        <v>0.83333333333333337</v>
      </c>
      <c r="AD24" s="293" t="s">
        <v>1745</v>
      </c>
    </row>
    <row r="25" spans="1:30" ht="352.5" customHeight="1" thickBot="1">
      <c r="A25" s="292" t="s">
        <v>52</v>
      </c>
      <c r="B25" s="292" t="s">
        <v>583</v>
      </c>
      <c r="C25" s="293" t="s">
        <v>1746</v>
      </c>
      <c r="D25" s="293" t="s">
        <v>1747</v>
      </c>
      <c r="E25" s="293" t="s">
        <v>1748</v>
      </c>
      <c r="F25" s="293" t="s">
        <v>1749</v>
      </c>
      <c r="G25" s="293" t="s">
        <v>1750</v>
      </c>
      <c r="H25" s="293">
        <v>1</v>
      </c>
      <c r="I25" s="293" t="s">
        <v>1751</v>
      </c>
      <c r="J25" s="293" t="s">
        <v>600</v>
      </c>
      <c r="K25" s="293" t="s">
        <v>778</v>
      </c>
      <c r="L25" s="293" t="s">
        <v>1752</v>
      </c>
      <c r="M25" s="294">
        <v>43621</v>
      </c>
      <c r="N25" s="294">
        <v>43652</v>
      </c>
      <c r="O25" s="281">
        <v>5</v>
      </c>
      <c r="P25" s="295">
        <v>45146</v>
      </c>
      <c r="Q25" s="295">
        <v>44631</v>
      </c>
      <c r="R25" s="296">
        <v>178</v>
      </c>
      <c r="S25" s="297" t="s">
        <v>1642</v>
      </c>
      <c r="T25" s="298" t="s">
        <v>1753</v>
      </c>
      <c r="U25" s="283">
        <v>0.7</v>
      </c>
      <c r="V25" s="283">
        <v>0</v>
      </c>
      <c r="W25" s="296" t="s">
        <v>1643</v>
      </c>
      <c r="X25" s="293" t="s">
        <v>1754</v>
      </c>
      <c r="Y25" s="293" t="s">
        <v>1755</v>
      </c>
      <c r="Z25" s="301">
        <f t="shared" si="0"/>
        <v>0.35</v>
      </c>
      <c r="AA25" s="304" t="s">
        <v>61</v>
      </c>
      <c r="AB25" s="304" t="s">
        <v>61</v>
      </c>
      <c r="AC25" s="282">
        <f t="shared" si="1"/>
        <v>0.35</v>
      </c>
      <c r="AD25" s="305" t="s">
        <v>1756</v>
      </c>
    </row>
    <row r="26" spans="1:30" ht="143.25" thickBot="1">
      <c r="A26" s="292" t="s">
        <v>52</v>
      </c>
      <c r="B26" s="292" t="s">
        <v>583</v>
      </c>
      <c r="C26" s="293" t="s">
        <v>1746</v>
      </c>
      <c r="D26" s="293" t="s">
        <v>1747</v>
      </c>
      <c r="E26" s="293" t="s">
        <v>1748</v>
      </c>
      <c r="F26" s="293" t="s">
        <v>1757</v>
      </c>
      <c r="G26" s="293" t="s">
        <v>1758</v>
      </c>
      <c r="H26" s="293">
        <v>1</v>
      </c>
      <c r="I26" s="293" t="s">
        <v>1751</v>
      </c>
      <c r="J26" s="293" t="s">
        <v>600</v>
      </c>
      <c r="K26" s="293" t="s">
        <v>778</v>
      </c>
      <c r="L26" s="293" t="s">
        <v>1759</v>
      </c>
      <c r="M26" s="294">
        <v>43621</v>
      </c>
      <c r="N26" s="294">
        <v>43624</v>
      </c>
      <c r="O26" s="281">
        <v>13</v>
      </c>
      <c r="P26" s="295">
        <v>45146</v>
      </c>
      <c r="Q26" s="295">
        <v>44631</v>
      </c>
      <c r="R26" s="296">
        <v>169</v>
      </c>
      <c r="S26" s="297" t="s">
        <v>1642</v>
      </c>
      <c r="T26" s="298" t="s">
        <v>1753</v>
      </c>
      <c r="U26" s="283">
        <v>0.7</v>
      </c>
      <c r="V26" s="283">
        <v>0</v>
      </c>
      <c r="W26" s="296" t="s">
        <v>1643</v>
      </c>
      <c r="X26" s="293" t="s">
        <v>1754</v>
      </c>
      <c r="Y26" s="293" t="s">
        <v>1760</v>
      </c>
      <c r="Z26" s="301">
        <f t="shared" si="0"/>
        <v>0.35</v>
      </c>
      <c r="AA26" s="304" t="s">
        <v>61</v>
      </c>
      <c r="AB26" s="304" t="s">
        <v>61</v>
      </c>
      <c r="AC26" s="282">
        <f t="shared" si="1"/>
        <v>0.35</v>
      </c>
      <c r="AD26" s="305" t="s">
        <v>1756</v>
      </c>
    </row>
    <row r="27" spans="1:30" ht="57.75" thickBot="1">
      <c r="A27" s="292" t="s">
        <v>52</v>
      </c>
      <c r="B27" s="292" t="s">
        <v>583</v>
      </c>
      <c r="C27" s="293" t="s">
        <v>1746</v>
      </c>
      <c r="D27" s="293" t="s">
        <v>1747</v>
      </c>
      <c r="E27" s="293" t="s">
        <v>1748</v>
      </c>
      <c r="F27" s="293" t="s">
        <v>1761</v>
      </c>
      <c r="G27" s="293" t="s">
        <v>324</v>
      </c>
      <c r="H27" s="293">
        <v>1</v>
      </c>
      <c r="I27" s="293" t="s">
        <v>1751</v>
      </c>
      <c r="J27" s="293" t="s">
        <v>600</v>
      </c>
      <c r="K27" s="293" t="s">
        <v>778</v>
      </c>
      <c r="L27" s="293" t="s">
        <v>1762</v>
      </c>
      <c r="M27" s="294">
        <v>43621</v>
      </c>
      <c r="N27" s="294">
        <v>43622</v>
      </c>
      <c r="O27" s="281">
        <v>4</v>
      </c>
      <c r="P27" s="295">
        <v>45146</v>
      </c>
      <c r="Q27" s="295">
        <v>44631</v>
      </c>
      <c r="R27" s="296">
        <v>178</v>
      </c>
      <c r="S27" s="297" t="s">
        <v>1642</v>
      </c>
      <c r="T27" s="298">
        <v>1</v>
      </c>
      <c r="U27" s="299">
        <v>0.5</v>
      </c>
      <c r="V27" s="283">
        <v>0</v>
      </c>
      <c r="W27" s="296" t="s">
        <v>1643</v>
      </c>
      <c r="X27" s="293" t="s">
        <v>1763</v>
      </c>
      <c r="Y27" s="293" t="s">
        <v>1760</v>
      </c>
      <c r="Z27" s="301">
        <f t="shared" si="0"/>
        <v>0.25</v>
      </c>
      <c r="AA27" s="304" t="s">
        <v>61</v>
      </c>
      <c r="AB27" s="304" t="s">
        <v>61</v>
      </c>
      <c r="AC27" s="282">
        <f t="shared" si="1"/>
        <v>0.25</v>
      </c>
      <c r="AD27" s="305" t="s">
        <v>1756</v>
      </c>
    </row>
    <row r="28" spans="1:30" ht="143.25" thickBot="1">
      <c r="A28" s="292" t="s">
        <v>52</v>
      </c>
      <c r="B28" s="292" t="s">
        <v>583</v>
      </c>
      <c r="C28" s="293" t="s">
        <v>1764</v>
      </c>
      <c r="D28" s="293" t="s">
        <v>1765</v>
      </c>
      <c r="E28" s="293" t="s">
        <v>1766</v>
      </c>
      <c r="F28" s="293" t="s">
        <v>1767</v>
      </c>
      <c r="G28" s="293" t="s">
        <v>1768</v>
      </c>
      <c r="H28" s="293">
        <v>1</v>
      </c>
      <c r="I28" s="293" t="s">
        <v>1769</v>
      </c>
      <c r="J28" s="293" t="s">
        <v>600</v>
      </c>
      <c r="K28" s="293" t="s">
        <v>778</v>
      </c>
      <c r="L28" s="293" t="s">
        <v>1770</v>
      </c>
      <c r="M28" s="294">
        <v>43621</v>
      </c>
      <c r="N28" s="294">
        <v>43652</v>
      </c>
      <c r="O28" s="281">
        <v>5</v>
      </c>
      <c r="P28" s="295">
        <v>45146</v>
      </c>
      <c r="Q28" s="295">
        <v>44631</v>
      </c>
      <c r="R28" s="296">
        <v>178</v>
      </c>
      <c r="S28" s="297" t="s">
        <v>1642</v>
      </c>
      <c r="T28" s="298" t="s">
        <v>1753</v>
      </c>
      <c r="U28" s="301">
        <v>0.7</v>
      </c>
      <c r="V28" s="283">
        <v>0</v>
      </c>
      <c r="W28" s="296" t="s">
        <v>1643</v>
      </c>
      <c r="X28" s="293" t="s">
        <v>1771</v>
      </c>
      <c r="Y28" s="293" t="s">
        <v>1772</v>
      </c>
      <c r="Z28" s="301">
        <f t="shared" si="0"/>
        <v>0.35</v>
      </c>
      <c r="AA28" s="304" t="s">
        <v>61</v>
      </c>
      <c r="AB28" s="304" t="s">
        <v>61</v>
      </c>
      <c r="AC28" s="282">
        <f t="shared" si="1"/>
        <v>0.35</v>
      </c>
      <c r="AD28" s="305" t="s">
        <v>1756</v>
      </c>
    </row>
    <row r="29" spans="1:30" ht="129" thickBot="1">
      <c r="A29" s="292" t="s">
        <v>52</v>
      </c>
      <c r="B29" s="292" t="s">
        <v>583</v>
      </c>
      <c r="C29" s="293" t="s">
        <v>1773</v>
      </c>
      <c r="D29" s="293" t="s">
        <v>1774</v>
      </c>
      <c r="E29" s="293" t="s">
        <v>1775</v>
      </c>
      <c r="F29" s="293" t="s">
        <v>1776</v>
      </c>
      <c r="G29" s="293" t="s">
        <v>1777</v>
      </c>
      <c r="H29" s="293">
        <v>1</v>
      </c>
      <c r="I29" s="293" t="s">
        <v>1778</v>
      </c>
      <c r="J29" s="293" t="s">
        <v>695</v>
      </c>
      <c r="K29" s="293" t="s">
        <v>778</v>
      </c>
      <c r="L29" s="293" t="s">
        <v>1779</v>
      </c>
      <c r="M29" s="294">
        <v>43621</v>
      </c>
      <c r="N29" s="294">
        <v>43622</v>
      </c>
      <c r="O29" s="281">
        <v>4</v>
      </c>
      <c r="P29" s="295">
        <v>45146</v>
      </c>
      <c r="Q29" s="294">
        <v>43622</v>
      </c>
      <c r="R29" s="298">
        <v>0</v>
      </c>
      <c r="S29" s="297" t="s">
        <v>1642</v>
      </c>
      <c r="T29" s="300" t="s">
        <v>61</v>
      </c>
      <c r="U29" s="283">
        <v>1</v>
      </c>
      <c r="V29" s="306">
        <v>1</v>
      </c>
      <c r="W29" s="307" t="s">
        <v>1780</v>
      </c>
      <c r="X29" s="293" t="s">
        <v>1781</v>
      </c>
      <c r="Y29" s="293" t="s">
        <v>1782</v>
      </c>
      <c r="Z29" s="301">
        <f t="shared" si="0"/>
        <v>1</v>
      </c>
      <c r="AA29" s="304">
        <v>0.4</v>
      </c>
      <c r="AB29" s="304">
        <v>0.4</v>
      </c>
      <c r="AC29" s="282">
        <f t="shared" si="1"/>
        <v>0.6</v>
      </c>
      <c r="AD29" s="293" t="s">
        <v>1783</v>
      </c>
    </row>
    <row r="30" spans="1:30" ht="271.5" thickBot="1">
      <c r="A30" s="292" t="s">
        <v>52</v>
      </c>
      <c r="B30" s="292" t="s">
        <v>583</v>
      </c>
      <c r="C30" s="293" t="s">
        <v>1773</v>
      </c>
      <c r="D30" s="293" t="s">
        <v>1774</v>
      </c>
      <c r="E30" s="293" t="s">
        <v>1775</v>
      </c>
      <c r="F30" s="293" t="s">
        <v>1784</v>
      </c>
      <c r="G30" s="293" t="s">
        <v>1785</v>
      </c>
      <c r="H30" s="300">
        <v>1</v>
      </c>
      <c r="I30" s="300" t="s">
        <v>1786</v>
      </c>
      <c r="J30" s="293" t="s">
        <v>695</v>
      </c>
      <c r="K30" s="293" t="s">
        <v>778</v>
      </c>
      <c r="L30" s="300" t="s">
        <v>1779</v>
      </c>
      <c r="M30" s="294">
        <v>43621</v>
      </c>
      <c r="N30" s="294">
        <v>43652</v>
      </c>
      <c r="O30" s="281">
        <v>5</v>
      </c>
      <c r="P30" s="295">
        <v>45146</v>
      </c>
      <c r="Q30" s="295"/>
      <c r="R30" s="298">
        <v>0</v>
      </c>
      <c r="S30" s="297" t="s">
        <v>1642</v>
      </c>
      <c r="T30" s="293" t="s">
        <v>61</v>
      </c>
      <c r="U30" s="283">
        <v>1</v>
      </c>
      <c r="V30" s="306">
        <v>1</v>
      </c>
      <c r="W30" s="307" t="s">
        <v>1780</v>
      </c>
      <c r="X30" s="300" t="s">
        <v>1787</v>
      </c>
      <c r="Y30" s="293" t="s">
        <v>1788</v>
      </c>
      <c r="Z30" s="301">
        <f t="shared" si="0"/>
        <v>1</v>
      </c>
      <c r="AA30" s="304">
        <v>0.4</v>
      </c>
      <c r="AB30" s="304">
        <v>0.4</v>
      </c>
      <c r="AC30" s="282">
        <f t="shared" si="1"/>
        <v>0.6</v>
      </c>
      <c r="AD30" s="293" t="s">
        <v>1789</v>
      </c>
    </row>
    <row r="31" spans="1:30" ht="30.75" thickBot="1">
      <c r="H31" s="284">
        <v>11</v>
      </c>
      <c r="R31" s="784" t="s">
        <v>154</v>
      </c>
      <c r="S31" s="784"/>
      <c r="T31" s="284" t="s">
        <v>1790</v>
      </c>
      <c r="U31" s="285">
        <f>AVERAGE(U7:U30)</f>
        <v>0.94166666666666654</v>
      </c>
      <c r="V31" s="286" t="s">
        <v>43</v>
      </c>
      <c r="W31" s="287">
        <f>(COUNTIF(W7:W30,"Cumple")*100%)/COUNTA(W7:W30)</f>
        <v>8.3333333333333329E-2</v>
      </c>
      <c r="Z31" s="288">
        <v>0.33</v>
      </c>
      <c r="AA31" s="289" t="s">
        <v>154</v>
      </c>
      <c r="AB31" s="289" t="s">
        <v>61</v>
      </c>
      <c r="AC31" s="290" t="s">
        <v>1791</v>
      </c>
    </row>
  </sheetData>
  <mergeCells count="28">
    <mergeCell ref="R31:S31"/>
    <mergeCell ref="A5:N5"/>
    <mergeCell ref="O5:Y5"/>
    <mergeCell ref="Z5:AD5"/>
    <mergeCell ref="T4:U4"/>
    <mergeCell ref="V4:Y4"/>
    <mergeCell ref="A4:B4"/>
    <mergeCell ref="C4:F4"/>
    <mergeCell ref="G4:H4"/>
    <mergeCell ref="I4:N4"/>
    <mergeCell ref="O4:P4"/>
    <mergeCell ref="Q4:S4"/>
    <mergeCell ref="Z1:AD4"/>
    <mergeCell ref="W3:X3"/>
    <mergeCell ref="A1:B1"/>
    <mergeCell ref="C1:N1"/>
    <mergeCell ref="A2:B2"/>
    <mergeCell ref="C2:F2"/>
    <mergeCell ref="G2:H2"/>
    <mergeCell ref="I2:N2"/>
    <mergeCell ref="Q3:V3"/>
    <mergeCell ref="O1:P2"/>
    <mergeCell ref="Q1:Y2"/>
    <mergeCell ref="A3:B3"/>
    <mergeCell ref="C3:F3"/>
    <mergeCell ref="G3:H3"/>
    <mergeCell ref="I3:N3"/>
    <mergeCell ref="O3:P3"/>
  </mergeCells>
  <conditionalFormatting sqref="U3:U4 U6:U31">
    <cfRule type="colorScale" priority="1">
      <colorScale>
        <cfvo type="min"/>
        <cfvo type="percentile" val="50"/>
        <cfvo type="max"/>
        <color rgb="FFF8696B"/>
        <color rgb="FFFFEB84"/>
        <color rgb="FF63BE7B"/>
      </colorScale>
    </cfRule>
  </conditionalFormatting>
  <dataValidations count="3">
    <dataValidation type="list" allowBlank="1" showInputMessage="1" showErrorMessage="1" errorTitle="Estado" error="No es un estado de los Planes de Mejoramiento" sqref="Q4:S4" xr:uid="{7B3CD9B3-E08D-4C13-B82A-5694A2CBCA76}">
      <formula1>$AW$4:$AW$7</formula1>
    </dataValidation>
    <dataValidation type="list" allowBlank="1" showInputMessage="1" showErrorMessage="1" sqref="A7:A30" xr:uid="{35700B15-56A3-4D12-9285-BB081C95DE69}">
      <formula1>$AP$4:$AP$10</formula1>
    </dataValidation>
    <dataValidation type="list" allowBlank="1" showInputMessage="1" showErrorMessage="1" sqref="B7:B30" xr:uid="{4B1A919A-B658-48D7-9A11-3F8CA35AA1F8}">
      <formula1>$AV$5:$AV$8</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583A-259C-4248-AAF6-545B2CD2C98E}">
  <sheetPr>
    <tabColor theme="0"/>
  </sheetPr>
  <dimension ref="A1:AV16"/>
  <sheetViews>
    <sheetView zoomScale="40" zoomScaleNormal="40" workbookViewId="0">
      <selection activeCell="Z9" sqref="Z9"/>
    </sheetView>
  </sheetViews>
  <sheetFormatPr defaultColWidth="17.5703125" defaultRowHeight="12.75"/>
  <cols>
    <col min="1" max="1" width="12.140625" style="53" customWidth="1"/>
    <col min="2" max="2" width="11.42578125" style="53" customWidth="1"/>
    <col min="3" max="3" width="46.28515625" style="53" customWidth="1"/>
    <col min="4" max="4" width="44.140625" style="53" customWidth="1"/>
    <col min="5" max="5" width="36.7109375" style="53" customWidth="1"/>
    <col min="6" max="6" width="33.5703125" style="53" customWidth="1"/>
    <col min="7" max="7" width="32.85546875" style="53" customWidth="1"/>
    <col min="8" max="8" width="17.42578125" style="53" customWidth="1"/>
    <col min="9" max="9" width="34" style="53" customWidth="1"/>
    <col min="10" max="10" width="19.7109375" style="53" customWidth="1"/>
    <col min="11" max="11" width="21.42578125" style="53" customWidth="1"/>
    <col min="12" max="12" width="30.28515625" style="53" customWidth="1"/>
    <col min="13" max="13" width="18.140625" style="53" customWidth="1"/>
    <col min="14" max="14" width="20.28515625" style="53" customWidth="1"/>
    <col min="15" max="15" width="18" style="53" customWidth="1"/>
    <col min="16" max="16" width="19.7109375" style="53" customWidth="1"/>
    <col min="17" max="17" width="21" style="53" customWidth="1"/>
    <col min="18" max="18" width="23.7109375" style="53" customWidth="1"/>
    <col min="19" max="19" width="15.28515625" style="53" customWidth="1"/>
    <col min="20" max="20" width="17.85546875" style="53" customWidth="1"/>
    <col min="21" max="21" width="22" style="53" customWidth="1"/>
    <col min="22" max="22" width="21.5703125" style="53" customWidth="1"/>
    <col min="23" max="23" width="20.28515625" style="53" customWidth="1"/>
    <col min="24" max="24" width="111.42578125" style="53" customWidth="1"/>
    <col min="25" max="25" width="56.42578125" style="53" customWidth="1"/>
    <col min="26" max="26" width="21.85546875" style="53" customWidth="1"/>
    <col min="27" max="27" width="18.85546875" style="53" customWidth="1"/>
    <col min="28" max="28" width="20.5703125" style="53" customWidth="1"/>
    <col min="29" max="29" width="21.140625" style="53" customWidth="1"/>
    <col min="30" max="30" width="72.42578125" style="53" customWidth="1"/>
    <col min="31" max="41" width="9.140625"/>
    <col min="42" max="42" width="28.5703125" hidden="1" customWidth="1"/>
    <col min="43" max="43" width="42" hidden="1" customWidth="1"/>
    <col min="44" max="44" width="0" hidden="1" customWidth="1"/>
    <col min="45" max="45" width="51.42578125" hidden="1" customWidth="1"/>
    <col min="46" max="46" width="8.5703125" hidden="1" customWidth="1"/>
    <col min="47" max="47" width="7.140625" hidden="1" customWidth="1"/>
    <col min="48" max="48" width="20.85546875" hidden="1" customWidth="1"/>
    <col min="49" max="49" width="0" hidden="1" customWidth="1"/>
    <col min="50" max="50" width="22.42578125" customWidth="1"/>
  </cols>
  <sheetData>
    <row r="1" spans="1:30" ht="118.5" customHeight="1" thickBot="1">
      <c r="A1" s="772" t="s">
        <v>0</v>
      </c>
      <c r="B1" s="772"/>
      <c r="C1" s="772" t="s">
        <v>155</v>
      </c>
      <c r="D1" s="772"/>
      <c r="E1" s="772"/>
      <c r="F1" s="772"/>
      <c r="G1" s="772"/>
      <c r="H1" s="772"/>
      <c r="I1" s="772"/>
      <c r="J1" s="772"/>
      <c r="K1" s="772"/>
      <c r="L1" s="772"/>
      <c r="M1" s="772"/>
      <c r="N1" s="772"/>
      <c r="O1" s="772"/>
      <c r="P1" s="772"/>
      <c r="Q1" s="772" t="s">
        <v>1</v>
      </c>
      <c r="R1" s="772"/>
      <c r="S1" s="772"/>
      <c r="T1" s="772"/>
      <c r="U1" s="772"/>
      <c r="V1" s="772"/>
      <c r="W1" s="772"/>
      <c r="X1" s="772"/>
      <c r="Y1" s="772"/>
      <c r="Z1" s="772" t="s">
        <v>1</v>
      </c>
      <c r="AA1" s="772"/>
      <c r="AB1" s="772"/>
      <c r="AC1" s="772"/>
      <c r="AD1" s="772"/>
    </row>
    <row r="2" spans="1:30" ht="15.75" customHeight="1" thickBot="1">
      <c r="A2" s="772" t="s">
        <v>2</v>
      </c>
      <c r="B2" s="772"/>
      <c r="C2" s="772" t="s">
        <v>3</v>
      </c>
      <c r="D2" s="773"/>
      <c r="E2" s="773"/>
      <c r="F2" s="773"/>
      <c r="G2" s="772" t="s">
        <v>4</v>
      </c>
      <c r="H2" s="772"/>
      <c r="I2" s="772" t="s">
        <v>5</v>
      </c>
      <c r="J2" s="772"/>
      <c r="K2" s="772"/>
      <c r="L2" s="772"/>
      <c r="M2" s="772"/>
      <c r="N2" s="772"/>
      <c r="O2" s="772"/>
      <c r="P2" s="772"/>
      <c r="Q2" s="772"/>
      <c r="R2" s="772"/>
      <c r="S2" s="772"/>
      <c r="T2" s="772"/>
      <c r="U2" s="772"/>
      <c r="V2" s="772"/>
      <c r="W2" s="772"/>
      <c r="X2" s="772"/>
      <c r="Y2" s="772"/>
      <c r="Z2" s="772"/>
      <c r="AA2" s="772"/>
      <c r="AB2" s="772"/>
      <c r="AC2" s="772"/>
      <c r="AD2" s="772"/>
    </row>
    <row r="3" spans="1:30" ht="18" customHeight="1">
      <c r="A3" s="771" t="s">
        <v>6</v>
      </c>
      <c r="B3" s="771"/>
      <c r="C3" s="772"/>
      <c r="D3" s="772"/>
      <c r="E3" s="772"/>
      <c r="F3" s="772"/>
      <c r="G3" s="771" t="s">
        <v>8</v>
      </c>
      <c r="H3" s="771"/>
      <c r="I3" s="776">
        <v>43109</v>
      </c>
      <c r="J3" s="772"/>
      <c r="K3" s="772"/>
      <c r="L3" s="772"/>
      <c r="M3" s="772"/>
      <c r="N3" s="772"/>
      <c r="O3" s="771" t="s">
        <v>9</v>
      </c>
      <c r="P3" s="771"/>
      <c r="Q3" s="776" t="s">
        <v>1792</v>
      </c>
      <c r="R3" s="776"/>
      <c r="S3" s="776"/>
      <c r="T3" s="776"/>
      <c r="U3" s="776"/>
      <c r="V3" s="776"/>
      <c r="W3" s="248"/>
      <c r="X3" s="247" t="s">
        <v>10</v>
      </c>
      <c r="Y3" s="277"/>
      <c r="Z3" s="772"/>
      <c r="AA3" s="772"/>
      <c r="AB3" s="772"/>
      <c r="AC3" s="772"/>
      <c r="AD3" s="772"/>
    </row>
    <row r="4" spans="1:30" ht="18" customHeight="1" thickBot="1">
      <c r="A4" s="771" t="s">
        <v>12</v>
      </c>
      <c r="B4" s="771"/>
      <c r="C4" s="772" t="s">
        <v>1793</v>
      </c>
      <c r="D4" s="772"/>
      <c r="E4" s="772"/>
      <c r="F4" s="772"/>
      <c r="G4" s="771" t="s">
        <v>14</v>
      </c>
      <c r="H4" s="771"/>
      <c r="I4" s="776">
        <v>44915</v>
      </c>
      <c r="J4" s="776"/>
      <c r="K4" s="776"/>
      <c r="L4" s="776"/>
      <c r="M4" s="776"/>
      <c r="N4" s="776"/>
      <c r="O4" s="771" t="s">
        <v>15</v>
      </c>
      <c r="P4" s="771"/>
      <c r="Q4" s="772"/>
      <c r="R4" s="772"/>
      <c r="S4" s="772"/>
      <c r="T4" s="774" t="s">
        <v>17</v>
      </c>
      <c r="U4" s="774"/>
      <c r="V4" s="772"/>
      <c r="W4" s="772"/>
      <c r="X4" s="772"/>
      <c r="Y4" s="772"/>
      <c r="Z4" s="772"/>
      <c r="AA4" s="772"/>
      <c r="AB4" s="772"/>
      <c r="AC4" s="772"/>
      <c r="AD4" s="772"/>
    </row>
    <row r="5" spans="1:30" ht="20.25" customHeight="1" thickBot="1">
      <c r="A5" s="686" t="s">
        <v>18</v>
      </c>
      <c r="B5" s="687"/>
      <c r="C5" s="687"/>
      <c r="D5" s="687"/>
      <c r="E5" s="687"/>
      <c r="F5" s="687"/>
      <c r="G5" s="687"/>
      <c r="H5" s="687"/>
      <c r="I5" s="687"/>
      <c r="J5" s="687"/>
      <c r="K5" s="687"/>
      <c r="L5" s="687"/>
      <c r="M5" s="687"/>
      <c r="N5" s="688"/>
      <c r="O5" s="680" t="s">
        <v>19</v>
      </c>
      <c r="P5" s="681"/>
      <c r="Q5" s="681"/>
      <c r="R5" s="681"/>
      <c r="S5" s="681"/>
      <c r="T5" s="681"/>
      <c r="U5" s="681"/>
      <c r="V5" s="681"/>
      <c r="W5" s="681"/>
      <c r="X5" s="681"/>
      <c r="Y5" s="682"/>
      <c r="Z5" s="683" t="s">
        <v>20</v>
      </c>
      <c r="AA5" s="684"/>
      <c r="AB5" s="684"/>
      <c r="AC5" s="684"/>
      <c r="AD5" s="685"/>
    </row>
    <row r="6" spans="1:30" ht="117" customHeight="1" thickBot="1">
      <c r="A6" s="250" t="s">
        <v>21</v>
      </c>
      <c r="B6" s="250" t="s">
        <v>22</v>
      </c>
      <c r="C6" s="250" t="s">
        <v>770</v>
      </c>
      <c r="D6" s="250" t="s">
        <v>24</v>
      </c>
      <c r="E6" s="250" t="s">
        <v>25</v>
      </c>
      <c r="F6" s="250" t="s">
        <v>26</v>
      </c>
      <c r="G6" s="250" t="s">
        <v>27</v>
      </c>
      <c r="H6" s="250" t="s">
        <v>28</v>
      </c>
      <c r="I6" s="250" t="s">
        <v>29</v>
      </c>
      <c r="J6" s="250" t="s">
        <v>30</v>
      </c>
      <c r="K6" s="250" t="s">
        <v>31</v>
      </c>
      <c r="L6" s="250" t="s">
        <v>32</v>
      </c>
      <c r="M6" s="250" t="s">
        <v>33</v>
      </c>
      <c r="N6" s="250" t="s">
        <v>34</v>
      </c>
      <c r="O6" s="251" t="s">
        <v>35</v>
      </c>
      <c r="P6" s="252" t="s">
        <v>36</v>
      </c>
      <c r="Q6" s="251" t="s">
        <v>37</v>
      </c>
      <c r="R6" s="251" t="s">
        <v>38</v>
      </c>
      <c r="S6" s="251" t="s">
        <v>39</v>
      </c>
      <c r="T6" s="251" t="s">
        <v>40</v>
      </c>
      <c r="U6" s="251" t="s">
        <v>41</v>
      </c>
      <c r="V6" s="251" t="s">
        <v>42</v>
      </c>
      <c r="W6" s="251" t="s">
        <v>43</v>
      </c>
      <c r="X6" s="251" t="s">
        <v>44</v>
      </c>
      <c r="Y6" s="253" t="s">
        <v>45</v>
      </c>
      <c r="Z6" s="254" t="s">
        <v>46</v>
      </c>
      <c r="AA6" s="254" t="s">
        <v>771</v>
      </c>
      <c r="AB6" s="254" t="s">
        <v>48</v>
      </c>
      <c r="AC6" s="254" t="s">
        <v>49</v>
      </c>
      <c r="AD6" s="254" t="s">
        <v>50</v>
      </c>
    </row>
    <row r="7" spans="1:30" ht="262.5" customHeight="1" thickBot="1">
      <c r="A7" s="255"/>
      <c r="B7" s="255"/>
      <c r="C7" s="272" t="s">
        <v>1794</v>
      </c>
      <c r="D7" s="258"/>
      <c r="E7" s="258" t="s">
        <v>1795</v>
      </c>
      <c r="F7" s="258" t="s">
        <v>1796</v>
      </c>
      <c r="G7" s="157" t="s">
        <v>1797</v>
      </c>
      <c r="H7" s="256">
        <v>92</v>
      </c>
      <c r="I7" s="157" t="s">
        <v>1798</v>
      </c>
      <c r="J7" s="257" t="s">
        <v>1314</v>
      </c>
      <c r="K7" s="257" t="s">
        <v>778</v>
      </c>
      <c r="L7" s="258" t="s">
        <v>1799</v>
      </c>
      <c r="M7" s="259">
        <v>43109</v>
      </c>
      <c r="N7" s="259">
        <v>44915</v>
      </c>
      <c r="O7" s="260">
        <f>(N7-M7)/7</f>
        <v>258</v>
      </c>
      <c r="P7" s="259">
        <v>45107</v>
      </c>
      <c r="Q7" s="261">
        <f>P7</f>
        <v>45107</v>
      </c>
      <c r="R7" s="262">
        <f>(Q7-M7)/7-O7</f>
        <v>27.428571428571445</v>
      </c>
      <c r="S7" s="263" t="str">
        <f ca="1">IF((N7-TODAY())/7&gt;=0,"En tiempo","Alerta")</f>
        <v>Alerta</v>
      </c>
      <c r="T7" s="264">
        <v>92</v>
      </c>
      <c r="U7" s="265">
        <f>IF(T7/H7=1,1,+T7/H7)</f>
        <v>1</v>
      </c>
      <c r="V7" s="265">
        <f>IF(R7&gt;O7,0%,IF(R7&lt;=0,"100%",1-(R7/O7)))</f>
        <v>0.89368770764119598</v>
      </c>
      <c r="W7" s="266" t="str">
        <f>IF(Q7&lt;=N7,"Cumple","Incumple")</f>
        <v>Incumple</v>
      </c>
      <c r="X7" s="157" t="s">
        <v>1800</v>
      </c>
      <c r="Y7" s="157" t="s">
        <v>1801</v>
      </c>
      <c r="Z7" s="265">
        <f>(U7+V7)/2</f>
        <v>0.94684385382059799</v>
      </c>
      <c r="AA7" s="267">
        <v>0.82</v>
      </c>
      <c r="AB7" s="267">
        <v>0.82</v>
      </c>
      <c r="AC7" s="268">
        <f>AVERAGE(Z7:AB7)</f>
        <v>0.86228128460686593</v>
      </c>
      <c r="AD7" s="278" t="s">
        <v>1802</v>
      </c>
    </row>
    <row r="8" spans="1:30" ht="335.25" customHeight="1">
      <c r="A8" s="255"/>
      <c r="B8" s="255"/>
      <c r="C8" s="272" t="s">
        <v>1794</v>
      </c>
      <c r="D8" s="258"/>
      <c r="E8" s="258" t="s">
        <v>1803</v>
      </c>
      <c r="F8" s="258" t="s">
        <v>1804</v>
      </c>
      <c r="G8" s="157" t="s">
        <v>1805</v>
      </c>
      <c r="H8" s="256">
        <v>4657</v>
      </c>
      <c r="I8" s="157" t="s">
        <v>1806</v>
      </c>
      <c r="J8" s="257" t="s">
        <v>1314</v>
      </c>
      <c r="K8" s="257" t="s">
        <v>778</v>
      </c>
      <c r="L8" s="258" t="s">
        <v>1807</v>
      </c>
      <c r="M8" s="259">
        <v>43405</v>
      </c>
      <c r="N8" s="259">
        <v>43889</v>
      </c>
      <c r="O8" s="260">
        <f t="shared" ref="O8:O15" si="0">(N8-M8)/7</f>
        <v>69.142857142857139</v>
      </c>
      <c r="P8" s="259">
        <v>45290</v>
      </c>
      <c r="Q8" s="261">
        <f>P8</f>
        <v>45290</v>
      </c>
      <c r="R8" s="262">
        <f t="shared" ref="R8:R15" si="1">(Q8-M8)/7-O8</f>
        <v>200.14285714285714</v>
      </c>
      <c r="S8" s="263" t="str">
        <f t="shared" ref="S8:S15" ca="1" si="2">IF((N8-TODAY())/7&gt;=0,"En tiempo","Alerta")</f>
        <v>Alerta</v>
      </c>
      <c r="T8" s="264">
        <v>3630</v>
      </c>
      <c r="U8" s="265">
        <v>1</v>
      </c>
      <c r="V8" s="265">
        <f t="shared" ref="V8:V15" si="3">IF(R8&gt;O8,0%,IF(R8&lt;=0,"100%",1-(R8/O8)))</f>
        <v>0</v>
      </c>
      <c r="W8" s="266" t="str">
        <f t="shared" ref="W8:W15" si="4">IF(Q8&lt;=N8,"Cumple","Incumple")</f>
        <v>Incumple</v>
      </c>
      <c r="X8" s="573" t="s">
        <v>1808</v>
      </c>
      <c r="Y8" s="269" t="s">
        <v>1809</v>
      </c>
      <c r="Z8" s="265">
        <f>(U8+V8)/2</f>
        <v>0.5</v>
      </c>
      <c r="AA8" s="267">
        <v>0</v>
      </c>
      <c r="AB8" s="267">
        <v>0</v>
      </c>
      <c r="AC8" s="268">
        <f t="shared" ref="AC8:AC15" si="5">AVERAGE(Z8:AB8)</f>
        <v>0.16666666666666666</v>
      </c>
      <c r="AD8" s="278"/>
    </row>
    <row r="9" spans="1:30" ht="334.5" customHeight="1">
      <c r="A9" s="255"/>
      <c r="B9" s="255"/>
      <c r="C9" s="272" t="s">
        <v>1794</v>
      </c>
      <c r="D9" s="258"/>
      <c r="E9" s="258" t="s">
        <v>1803</v>
      </c>
      <c r="F9" s="258" t="s">
        <v>1810</v>
      </c>
      <c r="G9" s="157" t="s">
        <v>1811</v>
      </c>
      <c r="H9" s="256">
        <v>4657</v>
      </c>
      <c r="I9" s="157" t="s">
        <v>1806</v>
      </c>
      <c r="J9" s="257" t="s">
        <v>1314</v>
      </c>
      <c r="K9" s="257" t="s">
        <v>778</v>
      </c>
      <c r="L9" s="157" t="s">
        <v>1812</v>
      </c>
      <c r="M9" s="259">
        <v>43647</v>
      </c>
      <c r="N9" s="259">
        <v>44185</v>
      </c>
      <c r="O9" s="260">
        <f t="shared" si="0"/>
        <v>76.857142857142861</v>
      </c>
      <c r="P9" s="259">
        <v>45290</v>
      </c>
      <c r="Q9" s="261">
        <f>P9</f>
        <v>45290</v>
      </c>
      <c r="R9" s="262">
        <f t="shared" si="1"/>
        <v>157.85714285714286</v>
      </c>
      <c r="S9" s="263" t="str">
        <f t="shared" ca="1" si="2"/>
        <v>Alerta</v>
      </c>
      <c r="T9" s="264">
        <v>3630</v>
      </c>
      <c r="U9" s="265">
        <v>1</v>
      </c>
      <c r="V9" s="265">
        <f t="shared" si="3"/>
        <v>0</v>
      </c>
      <c r="W9" s="266" t="str">
        <f t="shared" si="4"/>
        <v>Incumple</v>
      </c>
      <c r="X9" s="573" t="s">
        <v>1813</v>
      </c>
      <c r="Y9" s="269" t="s">
        <v>1809</v>
      </c>
      <c r="Z9" s="265">
        <f>(U9+V9)/2</f>
        <v>0.5</v>
      </c>
      <c r="AA9" s="267">
        <v>0</v>
      </c>
      <c r="AB9" s="267">
        <v>0</v>
      </c>
      <c r="AC9" s="268">
        <f t="shared" si="5"/>
        <v>0.16666666666666666</v>
      </c>
      <c r="AD9" s="278"/>
    </row>
    <row r="10" spans="1:30" ht="175.5" customHeight="1">
      <c r="A10" s="255"/>
      <c r="B10" s="255"/>
      <c r="C10" s="272" t="s">
        <v>1814</v>
      </c>
      <c r="D10" s="272"/>
      <c r="E10" s="258" t="s">
        <v>1815</v>
      </c>
      <c r="F10" s="258" t="s">
        <v>1816</v>
      </c>
      <c r="G10" s="157" t="s">
        <v>1817</v>
      </c>
      <c r="H10" s="270">
        <v>14</v>
      </c>
      <c r="I10" s="157" t="s">
        <v>1818</v>
      </c>
      <c r="J10" s="257" t="s">
        <v>1314</v>
      </c>
      <c r="K10" s="257" t="s">
        <v>778</v>
      </c>
      <c r="L10" s="258" t="s">
        <v>1819</v>
      </c>
      <c r="M10" s="259">
        <v>43474</v>
      </c>
      <c r="N10" s="259">
        <v>44915</v>
      </c>
      <c r="O10" s="260">
        <f t="shared" si="0"/>
        <v>205.85714285714286</v>
      </c>
      <c r="P10" s="259">
        <v>43829</v>
      </c>
      <c r="Q10" s="259">
        <v>43829</v>
      </c>
      <c r="R10" s="262">
        <f t="shared" si="1"/>
        <v>-155.14285714285714</v>
      </c>
      <c r="S10" s="263" t="str">
        <f t="shared" ca="1" si="2"/>
        <v>Alerta</v>
      </c>
      <c r="T10" s="264">
        <v>14</v>
      </c>
      <c r="U10" s="265">
        <f t="shared" ref="U10:U15" si="6">IF(T10/H10=1,1,+T10/H10)</f>
        <v>1</v>
      </c>
      <c r="V10" s="265" t="str">
        <f t="shared" si="3"/>
        <v>100%</v>
      </c>
      <c r="W10" s="266" t="str">
        <f t="shared" si="4"/>
        <v>Cumple</v>
      </c>
      <c r="X10" s="269" t="s">
        <v>1820</v>
      </c>
      <c r="Y10" s="258" t="s">
        <v>1821</v>
      </c>
      <c r="Z10" s="265">
        <f t="shared" ref="Z10:Z16" si="7">(U10+V10)/2</f>
        <v>1</v>
      </c>
      <c r="AA10" s="267">
        <v>1</v>
      </c>
      <c r="AB10" s="267">
        <v>1</v>
      </c>
      <c r="AC10" s="268">
        <f t="shared" si="5"/>
        <v>1</v>
      </c>
      <c r="AD10" s="278"/>
    </row>
    <row r="11" spans="1:30" ht="130.5" customHeight="1" thickBot="1">
      <c r="A11" s="255"/>
      <c r="B11" s="255"/>
      <c r="C11" s="272" t="s">
        <v>1814</v>
      </c>
      <c r="D11" s="272"/>
      <c r="E11" s="258" t="s">
        <v>1815</v>
      </c>
      <c r="F11" s="258" t="s">
        <v>1822</v>
      </c>
      <c r="G11" s="157" t="s">
        <v>1823</v>
      </c>
      <c r="H11" s="270">
        <v>25</v>
      </c>
      <c r="I11" s="157" t="s">
        <v>1824</v>
      </c>
      <c r="J11" s="257" t="s">
        <v>1314</v>
      </c>
      <c r="K11" s="257" t="s">
        <v>778</v>
      </c>
      <c r="L11" s="258" t="s">
        <v>1825</v>
      </c>
      <c r="M11" s="259">
        <v>43839</v>
      </c>
      <c r="N11" s="259">
        <v>44915</v>
      </c>
      <c r="O11" s="260">
        <f t="shared" si="0"/>
        <v>153.71428571428572</v>
      </c>
      <c r="P11" s="259">
        <v>43829</v>
      </c>
      <c r="Q11" s="259">
        <v>43829</v>
      </c>
      <c r="R11" s="262">
        <f t="shared" si="1"/>
        <v>-155.14285714285714</v>
      </c>
      <c r="S11" s="263" t="str">
        <f t="shared" ca="1" si="2"/>
        <v>Alerta</v>
      </c>
      <c r="T11" s="264">
        <v>25</v>
      </c>
      <c r="U11" s="265">
        <f t="shared" si="6"/>
        <v>1</v>
      </c>
      <c r="V11" s="265" t="str">
        <f t="shared" si="3"/>
        <v>100%</v>
      </c>
      <c r="W11" s="266" t="str">
        <f t="shared" si="4"/>
        <v>Cumple</v>
      </c>
      <c r="X11" s="258" t="s">
        <v>1826</v>
      </c>
      <c r="Y11" s="258" t="s">
        <v>1827</v>
      </c>
      <c r="Z11" s="265">
        <f t="shared" si="7"/>
        <v>1</v>
      </c>
      <c r="AA11" s="267">
        <v>1</v>
      </c>
      <c r="AB11" s="267">
        <v>1</v>
      </c>
      <c r="AC11" s="268">
        <f t="shared" si="5"/>
        <v>1</v>
      </c>
      <c r="AD11" s="278" t="s">
        <v>1828</v>
      </c>
    </row>
    <row r="12" spans="1:30" ht="195.75" customHeight="1" thickBot="1">
      <c r="A12" s="255"/>
      <c r="B12" s="255"/>
      <c r="C12" s="272" t="s">
        <v>1814</v>
      </c>
      <c r="D12" s="272"/>
      <c r="E12" s="258" t="s">
        <v>1815</v>
      </c>
      <c r="F12" s="258" t="s">
        <v>1829</v>
      </c>
      <c r="G12" s="157" t="s">
        <v>1830</v>
      </c>
      <c r="H12" s="270">
        <v>6</v>
      </c>
      <c r="I12" s="157" t="s">
        <v>1824</v>
      </c>
      <c r="J12" s="257" t="s">
        <v>1314</v>
      </c>
      <c r="K12" s="257" t="s">
        <v>778</v>
      </c>
      <c r="L12" s="258" t="s">
        <v>1831</v>
      </c>
      <c r="M12" s="271">
        <v>43132</v>
      </c>
      <c r="N12" s="259">
        <v>44915</v>
      </c>
      <c r="O12" s="260">
        <f t="shared" si="0"/>
        <v>254.71428571428572</v>
      </c>
      <c r="P12" s="259">
        <v>43921</v>
      </c>
      <c r="Q12" s="259">
        <v>43921</v>
      </c>
      <c r="R12" s="262">
        <f t="shared" si="1"/>
        <v>-142</v>
      </c>
      <c r="S12" s="263" t="str">
        <f t="shared" ca="1" si="2"/>
        <v>Alerta</v>
      </c>
      <c r="T12" s="264">
        <v>6</v>
      </c>
      <c r="U12" s="265">
        <f t="shared" si="6"/>
        <v>1</v>
      </c>
      <c r="V12" s="265" t="str">
        <f t="shared" si="3"/>
        <v>100%</v>
      </c>
      <c r="W12" s="266" t="str">
        <f t="shared" si="4"/>
        <v>Cumple</v>
      </c>
      <c r="X12" s="258" t="s">
        <v>1832</v>
      </c>
      <c r="Y12" s="258" t="s">
        <v>1833</v>
      </c>
      <c r="Z12" s="265">
        <f t="shared" si="7"/>
        <v>1</v>
      </c>
      <c r="AA12" s="267">
        <v>1</v>
      </c>
      <c r="AB12" s="267">
        <v>1</v>
      </c>
      <c r="AC12" s="268">
        <f t="shared" si="5"/>
        <v>1</v>
      </c>
      <c r="AD12" s="278" t="s">
        <v>1834</v>
      </c>
    </row>
    <row r="13" spans="1:30" ht="234" customHeight="1" thickBot="1">
      <c r="A13" s="255"/>
      <c r="B13" s="255"/>
      <c r="C13" s="272" t="s">
        <v>1835</v>
      </c>
      <c r="D13" s="272"/>
      <c r="E13" s="258" t="s">
        <v>1835</v>
      </c>
      <c r="F13" s="258" t="s">
        <v>1836</v>
      </c>
      <c r="G13" s="157" t="s">
        <v>1837</v>
      </c>
      <c r="H13" s="270">
        <v>3777</v>
      </c>
      <c r="I13" s="157" t="s">
        <v>1838</v>
      </c>
      <c r="J13" s="257" t="s">
        <v>1314</v>
      </c>
      <c r="K13" s="257" t="s">
        <v>778</v>
      </c>
      <c r="L13" s="258" t="s">
        <v>1839</v>
      </c>
      <c r="M13" s="271">
        <v>43497</v>
      </c>
      <c r="N13" s="271">
        <v>44915</v>
      </c>
      <c r="O13" s="260">
        <f t="shared" si="0"/>
        <v>202.57142857142858</v>
      </c>
      <c r="P13" s="259">
        <v>43921</v>
      </c>
      <c r="Q13" s="259">
        <v>43921</v>
      </c>
      <c r="R13" s="262">
        <f t="shared" si="1"/>
        <v>-142</v>
      </c>
      <c r="S13" s="263" t="str">
        <f t="shared" ca="1" si="2"/>
        <v>Alerta</v>
      </c>
      <c r="T13" s="272">
        <v>3777</v>
      </c>
      <c r="U13" s="265">
        <f t="shared" si="6"/>
        <v>1</v>
      </c>
      <c r="V13" s="265" t="str">
        <f t="shared" si="3"/>
        <v>100%</v>
      </c>
      <c r="W13" s="266" t="str">
        <f t="shared" si="4"/>
        <v>Cumple</v>
      </c>
      <c r="X13" s="258" t="s">
        <v>1840</v>
      </c>
      <c r="Y13" s="258" t="s">
        <v>1841</v>
      </c>
      <c r="Z13" s="265">
        <f t="shared" si="7"/>
        <v>1</v>
      </c>
      <c r="AA13" s="267">
        <v>1</v>
      </c>
      <c r="AB13" s="267">
        <v>1</v>
      </c>
      <c r="AC13" s="268">
        <f t="shared" si="5"/>
        <v>1</v>
      </c>
      <c r="AD13" s="278"/>
    </row>
    <row r="14" spans="1:30" ht="252" customHeight="1" thickBot="1">
      <c r="A14" s="255"/>
      <c r="B14" s="255"/>
      <c r="C14" s="272" t="s">
        <v>1835</v>
      </c>
      <c r="D14" s="272"/>
      <c r="E14" s="258" t="s">
        <v>1835</v>
      </c>
      <c r="F14" s="258" t="s">
        <v>1842</v>
      </c>
      <c r="G14" s="157" t="s">
        <v>1843</v>
      </c>
      <c r="H14" s="256">
        <v>1</v>
      </c>
      <c r="I14" s="157" t="s">
        <v>1844</v>
      </c>
      <c r="J14" s="257" t="s">
        <v>1314</v>
      </c>
      <c r="K14" s="257" t="s">
        <v>778</v>
      </c>
      <c r="L14" s="258" t="s">
        <v>1845</v>
      </c>
      <c r="M14" s="271">
        <v>43497</v>
      </c>
      <c r="N14" s="271">
        <v>44915</v>
      </c>
      <c r="O14" s="260">
        <f t="shared" si="0"/>
        <v>202.57142857142858</v>
      </c>
      <c r="P14" s="259">
        <v>43644</v>
      </c>
      <c r="Q14" s="259">
        <v>43644</v>
      </c>
      <c r="R14" s="262">
        <f t="shared" si="1"/>
        <v>-181.57142857142858</v>
      </c>
      <c r="S14" s="263" t="str">
        <f t="shared" ca="1" si="2"/>
        <v>Alerta</v>
      </c>
      <c r="T14" s="272">
        <v>1</v>
      </c>
      <c r="U14" s="265">
        <f t="shared" si="6"/>
        <v>1</v>
      </c>
      <c r="V14" s="265" t="str">
        <f t="shared" si="3"/>
        <v>100%</v>
      </c>
      <c r="W14" s="266" t="str">
        <f t="shared" si="4"/>
        <v>Cumple</v>
      </c>
      <c r="X14" s="258" t="s">
        <v>1846</v>
      </c>
      <c r="Y14" s="258" t="s">
        <v>1847</v>
      </c>
      <c r="Z14" s="265">
        <f t="shared" si="7"/>
        <v>1</v>
      </c>
      <c r="AA14" s="267">
        <v>1</v>
      </c>
      <c r="AB14" s="267">
        <v>1</v>
      </c>
      <c r="AC14" s="268">
        <f t="shared" si="5"/>
        <v>1</v>
      </c>
      <c r="AD14" s="278"/>
    </row>
    <row r="15" spans="1:30" ht="369" customHeight="1" thickBot="1">
      <c r="A15" s="255"/>
      <c r="B15" s="255"/>
      <c r="C15" s="272" t="s">
        <v>1848</v>
      </c>
      <c r="D15" s="272"/>
      <c r="E15" s="258" t="s">
        <v>1849</v>
      </c>
      <c r="F15" s="258" t="s">
        <v>1850</v>
      </c>
      <c r="G15" s="157" t="s">
        <v>1851</v>
      </c>
      <c r="H15" s="273">
        <v>1</v>
      </c>
      <c r="I15" s="157" t="s">
        <v>1852</v>
      </c>
      <c r="J15" s="257" t="s">
        <v>1314</v>
      </c>
      <c r="K15" s="257" t="s">
        <v>778</v>
      </c>
      <c r="L15" s="258" t="s">
        <v>1853</v>
      </c>
      <c r="M15" s="271">
        <v>43497</v>
      </c>
      <c r="N15" s="271">
        <v>44915</v>
      </c>
      <c r="O15" s="260">
        <f t="shared" si="0"/>
        <v>202.57142857142858</v>
      </c>
      <c r="P15" s="259">
        <v>43738</v>
      </c>
      <c r="Q15" s="259">
        <v>43738</v>
      </c>
      <c r="R15" s="262">
        <f t="shared" si="1"/>
        <v>-168.14285714285717</v>
      </c>
      <c r="S15" s="263" t="str">
        <f t="shared" ca="1" si="2"/>
        <v>Alerta</v>
      </c>
      <c r="T15" s="274">
        <v>1</v>
      </c>
      <c r="U15" s="265">
        <f t="shared" si="6"/>
        <v>1</v>
      </c>
      <c r="V15" s="265" t="str">
        <f t="shared" si="3"/>
        <v>100%</v>
      </c>
      <c r="W15" s="266" t="str">
        <f t="shared" si="4"/>
        <v>Cumple</v>
      </c>
      <c r="X15" s="258" t="s">
        <v>1854</v>
      </c>
      <c r="Y15" s="258" t="s">
        <v>1855</v>
      </c>
      <c r="Z15" s="265">
        <f t="shared" si="7"/>
        <v>1</v>
      </c>
      <c r="AA15" s="267">
        <v>1</v>
      </c>
      <c r="AB15" s="267">
        <v>1</v>
      </c>
      <c r="AC15" s="268">
        <f t="shared" si="5"/>
        <v>1</v>
      </c>
      <c r="AD15" s="278"/>
    </row>
    <row r="16" spans="1:30" ht="15.75" thickBot="1">
      <c r="G16" s="250" t="s">
        <v>153</v>
      </c>
      <c r="H16" s="276">
        <f>SUM(H7:H15)</f>
        <v>13230</v>
      </c>
      <c r="R16" s="279" t="s">
        <v>154</v>
      </c>
      <c r="S16" s="279"/>
      <c r="T16" s="275">
        <f>SUM(T7:T15)</f>
        <v>11176</v>
      </c>
      <c r="U16" s="268">
        <f>AVERAGE(U7:U15)</f>
        <v>1</v>
      </c>
      <c r="W16" s="268">
        <f>(COUNTIF(W7:W15,"Cumple")*100%)/COUNTA(W7:W15)</f>
        <v>0.66666666666666663</v>
      </c>
      <c r="Z16" s="265">
        <f t="shared" si="7"/>
        <v>0.5</v>
      </c>
      <c r="AA16" s="279" t="s">
        <v>154</v>
      </c>
      <c r="AB16" s="279"/>
      <c r="AC16" s="268">
        <f>AVERAGE(AC7:AC15)</f>
        <v>0.79951273532668887</v>
      </c>
    </row>
  </sheetData>
  <mergeCells count="26">
    <mergeCell ref="Q4:S4"/>
    <mergeCell ref="T4:U4"/>
    <mergeCell ref="A5:N5"/>
    <mergeCell ref="O5:Y5"/>
    <mergeCell ref="Z5:AD5"/>
    <mergeCell ref="A4:B4"/>
    <mergeCell ref="C4:F4"/>
    <mergeCell ref="G4:H4"/>
    <mergeCell ref="I4:N4"/>
    <mergeCell ref="O4:P4"/>
    <mergeCell ref="O1:P2"/>
    <mergeCell ref="Q1:Y2"/>
    <mergeCell ref="Z1:AD4"/>
    <mergeCell ref="A2:B2"/>
    <mergeCell ref="C2:F2"/>
    <mergeCell ref="G2:H2"/>
    <mergeCell ref="I2:N2"/>
    <mergeCell ref="Q3:V3"/>
    <mergeCell ref="A1:B1"/>
    <mergeCell ref="C1:N1"/>
    <mergeCell ref="A3:B3"/>
    <mergeCell ref="C3:F3"/>
    <mergeCell ref="G3:H3"/>
    <mergeCell ref="I3:N3"/>
    <mergeCell ref="O3:P3"/>
    <mergeCell ref="V4:Y4"/>
  </mergeCells>
  <conditionalFormatting sqref="R7:R15">
    <cfRule type="cellIs" dxfId="128" priority="27" operator="greaterThan">
      <formula>0</formula>
    </cfRule>
    <cfRule type="cellIs" dxfId="127" priority="28" operator="lessThan">
      <formula>0</formula>
    </cfRule>
  </conditionalFormatting>
  <conditionalFormatting sqref="S7:S15">
    <cfRule type="containsText" dxfId="126" priority="25" operator="containsText" text="Alerta">
      <formula>NOT(ISERROR(SEARCH("Alerta",S7)))</formula>
    </cfRule>
    <cfRule type="containsText" dxfId="125" priority="26" operator="containsText" text="En tiempo">
      <formula>NOT(ISERROR(SEARCH("En tiempo",S7)))</formula>
    </cfRule>
  </conditionalFormatting>
  <conditionalFormatting sqref="U7:Z15 U16 W16 Z16">
    <cfRule type="cellIs" dxfId="124" priority="7" operator="between">
      <formula>0.19</formula>
      <formula>0</formula>
    </cfRule>
    <cfRule type="cellIs" dxfId="123" priority="8" operator="between">
      <formula>0.49</formula>
      <formula>0.2</formula>
    </cfRule>
    <cfRule type="cellIs" dxfId="122" priority="9" operator="between">
      <formula>0.89</formula>
      <formula>0.5</formula>
    </cfRule>
    <cfRule type="cellIs" dxfId="121" priority="10" operator="between">
      <formula>1</formula>
      <formula>0.9</formula>
    </cfRule>
  </conditionalFormatting>
  <conditionalFormatting sqref="W7:W15">
    <cfRule type="containsText" dxfId="120" priority="23" operator="containsText" text="Incumple">
      <formula>NOT(ISERROR(SEARCH("Incumple",W7)))</formula>
    </cfRule>
    <cfRule type="containsText" dxfId="119" priority="24" operator="containsText" text="Cumple">
      <formula>NOT(ISERROR(SEARCH("Cumple",W7)))</formula>
    </cfRule>
  </conditionalFormatting>
  <conditionalFormatting sqref="W16">
    <cfRule type="cellIs" dxfId="118" priority="11" operator="between">
      <formula>0.19</formula>
      <formula>0</formula>
    </cfRule>
    <cfRule type="cellIs" dxfId="117" priority="12" operator="between">
      <formula>0.49</formula>
      <formula>0.2</formula>
    </cfRule>
    <cfRule type="cellIs" dxfId="116" priority="13" operator="between">
      <formula>0.89</formula>
      <formula>0.5</formula>
    </cfRule>
    <cfRule type="cellIs" dxfId="115" priority="14" operator="between">
      <formula>1</formula>
      <formula>0.9</formula>
    </cfRule>
  </conditionalFormatting>
  <conditionalFormatting sqref="AC7:AC16">
    <cfRule type="cellIs" dxfId="114" priority="1" operator="between">
      <formula>0.3</formula>
      <formula>0</formula>
    </cfRule>
    <cfRule type="cellIs" dxfId="113" priority="2" operator="between">
      <formula>0.6999</formula>
      <formula>0.3111</formula>
    </cfRule>
    <cfRule type="cellIs" dxfId="112" priority="3" operator="between">
      <formula>1</formula>
      <formula>0.7</formula>
    </cfRule>
  </conditionalFormatting>
  <dataValidations count="5">
    <dataValidation type="list" allowBlank="1" showInputMessage="1" showErrorMessage="1" errorTitle="Estado" error="No es un estado de los Planes de Mejoramiento" sqref="Q4:S4" xr:uid="{E157F154-A796-4A9C-B970-D09C88003034}">
      <formula1>$AW$4:$AW$7</formula1>
    </dataValidation>
    <dataValidation type="list" allowBlank="1" showInputMessage="1" showErrorMessage="1" sqref="B7 B10 B13 B15" xr:uid="{2CEB2A8E-70BC-4BF5-8E0E-4A632496CB7D}">
      <formula1>$AV$5:$AV$15</formula1>
    </dataValidation>
    <dataValidation type="list" allowBlank="1" showInputMessage="1" showErrorMessage="1" sqref="A7 A10 A13 A15" xr:uid="{D17FD4D1-CC37-4E05-BC09-60141DEFA1B5}">
      <formula1>$AP$4:$AP$15</formula1>
    </dataValidation>
    <dataValidation type="list" allowBlank="1" showInputMessage="1" showErrorMessage="1" sqref="J7:J15" xr:uid="{A18F0162-CABD-40C5-909A-9064767A03ED}">
      <formula1>$AR$4:$AR$15</formula1>
    </dataValidation>
    <dataValidation type="list" allowBlank="1" showInputMessage="1" showErrorMessage="1" sqref="K7:K15" xr:uid="{22EE83B6-D15B-4865-9940-8F81A718402C}">
      <formula1>$AS$4:$AS$15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7D3EA-4F78-4146-9D0C-2C545E2CF614}">
  <sheetPr>
    <tabColor theme="0"/>
  </sheetPr>
  <dimension ref="A1:AD18"/>
  <sheetViews>
    <sheetView zoomScale="40" zoomScaleNormal="40" workbookViewId="0">
      <selection sqref="A1:B1"/>
    </sheetView>
  </sheetViews>
  <sheetFormatPr defaultColWidth="18.85546875" defaultRowHeight="12.75"/>
  <cols>
    <col min="2" max="2" width="16.140625" customWidth="1"/>
    <col min="3" max="3" width="29.7109375" customWidth="1"/>
    <col min="4" max="4" width="37.140625" customWidth="1"/>
    <col min="5" max="5" width="23.5703125" customWidth="1"/>
    <col min="6" max="6" width="27" customWidth="1"/>
    <col min="7" max="7" width="16" customWidth="1"/>
    <col min="8" max="8" width="12" customWidth="1"/>
    <col min="9" max="9" width="13.42578125" customWidth="1"/>
    <col min="10" max="10" width="18.140625" customWidth="1"/>
    <col min="11" max="11" width="12.7109375" customWidth="1"/>
    <col min="12" max="12" width="16.28515625" customWidth="1"/>
    <col min="13" max="13" width="19.28515625" customWidth="1"/>
    <col min="14" max="14" width="17.7109375" customWidth="1"/>
    <col min="15" max="15" width="18" customWidth="1"/>
    <col min="16" max="16" width="18.42578125" customWidth="1"/>
    <col min="17" max="17" width="16" hidden="1" customWidth="1"/>
    <col min="18" max="18" width="17" hidden="1" customWidth="1"/>
    <col min="19" max="19" width="15.5703125" hidden="1" customWidth="1"/>
    <col min="20" max="20" width="18.140625" hidden="1" customWidth="1"/>
    <col min="21" max="21" width="17.7109375" customWidth="1"/>
    <col min="22" max="22" width="15.85546875" customWidth="1"/>
    <col min="23" max="23" width="16.7109375" customWidth="1"/>
    <col min="24" max="24" width="31.85546875" customWidth="1"/>
    <col min="25" max="25" width="67.140625" customWidth="1"/>
    <col min="26" max="26" width="13" customWidth="1"/>
    <col min="27" max="27" width="14" customWidth="1"/>
    <col min="28" max="28" width="15.85546875" customWidth="1"/>
    <col min="29" max="29" width="12.5703125" customWidth="1"/>
    <col min="30" max="30" width="24.85546875" customWidth="1"/>
  </cols>
  <sheetData>
    <row r="1" spans="1:30" ht="73.5"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8" t="s">
        <v>1</v>
      </c>
      <c r="AA1" s="669"/>
      <c r="AB1" s="669"/>
      <c r="AC1" s="669"/>
      <c r="AD1" s="670"/>
    </row>
    <row r="2" spans="1:30" ht="15.75"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71"/>
      <c r="AA2" s="672"/>
      <c r="AB2" s="672"/>
      <c r="AC2" s="672"/>
      <c r="AD2" s="673"/>
    </row>
    <row r="3" spans="1:30" ht="36.75" customHeight="1">
      <c r="A3" s="677" t="s">
        <v>6</v>
      </c>
      <c r="B3" s="677"/>
      <c r="C3" s="663" t="s">
        <v>156</v>
      </c>
      <c r="D3" s="663"/>
      <c r="E3" s="663"/>
      <c r="F3" s="663"/>
      <c r="G3" s="677" t="s">
        <v>8</v>
      </c>
      <c r="H3" s="677"/>
      <c r="I3" s="665">
        <v>42373</v>
      </c>
      <c r="J3" s="663"/>
      <c r="K3" s="663"/>
      <c r="L3" s="663"/>
      <c r="M3" s="663"/>
      <c r="N3" s="663"/>
      <c r="O3" s="677" t="s">
        <v>9</v>
      </c>
      <c r="P3" s="677"/>
      <c r="Q3" s="665" t="s">
        <v>157</v>
      </c>
      <c r="R3" s="665"/>
      <c r="S3" s="665"/>
      <c r="T3" s="665"/>
      <c r="U3" s="665"/>
      <c r="V3" s="665"/>
      <c r="W3" s="677" t="s">
        <v>10</v>
      </c>
      <c r="X3" s="677"/>
      <c r="Y3" s="378" t="s">
        <v>158</v>
      </c>
      <c r="Z3" s="671"/>
      <c r="AA3" s="672"/>
      <c r="AB3" s="672"/>
      <c r="AC3" s="672"/>
      <c r="AD3" s="673"/>
    </row>
    <row r="4" spans="1:30" ht="33" customHeight="1" thickBot="1">
      <c r="A4" s="677" t="s">
        <v>12</v>
      </c>
      <c r="B4" s="677"/>
      <c r="C4" s="663" t="s">
        <v>159</v>
      </c>
      <c r="D4" s="663"/>
      <c r="E4" s="663"/>
      <c r="F4" s="663"/>
      <c r="G4" s="677" t="s">
        <v>14</v>
      </c>
      <c r="H4" s="677"/>
      <c r="I4" s="665" t="s">
        <v>160</v>
      </c>
      <c r="J4" s="665"/>
      <c r="K4" s="665"/>
      <c r="L4" s="665"/>
      <c r="M4" s="665"/>
      <c r="N4" s="665"/>
      <c r="O4" s="677" t="s">
        <v>15</v>
      </c>
      <c r="P4" s="677"/>
      <c r="Q4" s="663" t="s">
        <v>16</v>
      </c>
      <c r="R4" s="663"/>
      <c r="S4" s="663"/>
      <c r="T4" s="664" t="s">
        <v>17</v>
      </c>
      <c r="U4" s="664"/>
      <c r="V4" s="663"/>
      <c r="W4" s="663"/>
      <c r="X4" s="663"/>
      <c r="Y4" s="663"/>
      <c r="Z4" s="674"/>
      <c r="AA4" s="675"/>
      <c r="AB4" s="675"/>
      <c r="AC4" s="675"/>
      <c r="AD4" s="676"/>
    </row>
    <row r="5" spans="1:30" ht="15.75" thickBot="1">
      <c r="A5" s="686" t="s">
        <v>18</v>
      </c>
      <c r="B5" s="687"/>
      <c r="C5" s="687"/>
      <c r="D5" s="687"/>
      <c r="E5" s="687"/>
      <c r="F5" s="687"/>
      <c r="G5" s="687"/>
      <c r="H5" s="687"/>
      <c r="I5" s="687"/>
      <c r="J5" s="687"/>
      <c r="K5" s="687"/>
      <c r="L5" s="687"/>
      <c r="M5" s="687"/>
      <c r="N5" s="688"/>
      <c r="O5" s="680" t="s">
        <v>19</v>
      </c>
      <c r="P5" s="681"/>
      <c r="Q5" s="681"/>
      <c r="R5" s="681"/>
      <c r="S5" s="681"/>
      <c r="T5" s="681"/>
      <c r="U5" s="681"/>
      <c r="V5" s="681"/>
      <c r="W5" s="681"/>
      <c r="X5" s="681"/>
      <c r="Y5" s="682"/>
      <c r="Z5" s="683" t="s">
        <v>20</v>
      </c>
      <c r="AA5" s="684"/>
      <c r="AB5" s="684"/>
      <c r="AC5" s="684"/>
      <c r="AD5" s="685"/>
    </row>
    <row r="6" spans="1:30" ht="130.5" customHeight="1" thickBot="1">
      <c r="A6" s="457" t="s">
        <v>21</v>
      </c>
      <c r="B6" s="457" t="s">
        <v>22</v>
      </c>
      <c r="C6" s="457" t="s">
        <v>23</v>
      </c>
      <c r="D6" s="457" t="s">
        <v>24</v>
      </c>
      <c r="E6" s="457" t="s">
        <v>25</v>
      </c>
      <c r="F6" s="457" t="s">
        <v>26</v>
      </c>
      <c r="G6" s="457" t="s">
        <v>27</v>
      </c>
      <c r="H6" s="457" t="s">
        <v>28</v>
      </c>
      <c r="I6" s="457" t="s">
        <v>29</v>
      </c>
      <c r="J6" s="457" t="s">
        <v>30</v>
      </c>
      <c r="K6" s="457" t="s">
        <v>31</v>
      </c>
      <c r="L6" s="457" t="s">
        <v>32</v>
      </c>
      <c r="M6" s="457" t="s">
        <v>33</v>
      </c>
      <c r="N6" s="457" t="s">
        <v>34</v>
      </c>
      <c r="O6" s="458" t="s">
        <v>35</v>
      </c>
      <c r="P6" s="458" t="s">
        <v>36</v>
      </c>
      <c r="Q6" s="458" t="s">
        <v>37</v>
      </c>
      <c r="R6" s="458" t="s">
        <v>38</v>
      </c>
      <c r="S6" s="458" t="s">
        <v>39</v>
      </c>
      <c r="T6" s="458" t="s">
        <v>40</v>
      </c>
      <c r="U6" s="458" t="s">
        <v>41</v>
      </c>
      <c r="V6" s="458" t="s">
        <v>42</v>
      </c>
      <c r="W6" s="458" t="s">
        <v>43</v>
      </c>
      <c r="X6" s="458" t="s">
        <v>44</v>
      </c>
      <c r="Y6" s="458" t="s">
        <v>45</v>
      </c>
      <c r="Z6" s="459" t="s">
        <v>46</v>
      </c>
      <c r="AA6" s="459" t="s">
        <v>47</v>
      </c>
      <c r="AB6" s="459" t="s">
        <v>48</v>
      </c>
      <c r="AC6" s="459" t="s">
        <v>49</v>
      </c>
      <c r="AD6" s="459" t="s">
        <v>50</v>
      </c>
    </row>
    <row r="7" spans="1:30" ht="223.5" customHeight="1">
      <c r="A7" s="300" t="s">
        <v>51</v>
      </c>
      <c r="B7" s="300" t="s">
        <v>52</v>
      </c>
      <c r="C7" s="300" t="s">
        <v>161</v>
      </c>
      <c r="D7" s="293" t="s">
        <v>162</v>
      </c>
      <c r="E7" s="293" t="s">
        <v>163</v>
      </c>
      <c r="F7" s="293" t="s">
        <v>164</v>
      </c>
      <c r="G7" s="293" t="s">
        <v>165</v>
      </c>
      <c r="H7" s="293">
        <v>1</v>
      </c>
      <c r="I7" s="293" t="s">
        <v>166</v>
      </c>
      <c r="J7" s="293" t="s">
        <v>59</v>
      </c>
      <c r="K7" s="293" t="s">
        <v>60</v>
      </c>
      <c r="L7" s="293" t="s">
        <v>165</v>
      </c>
      <c r="M7" s="461">
        <v>42461</v>
      </c>
      <c r="N7" s="461">
        <v>42734</v>
      </c>
      <c r="O7" s="462">
        <f>(+N7-M7)/7</f>
        <v>39</v>
      </c>
      <c r="P7" s="294">
        <v>45106</v>
      </c>
      <c r="Q7" s="293"/>
      <c r="R7" s="463">
        <f>(P7-M7)/7-O7</f>
        <v>338.85714285714283</v>
      </c>
      <c r="S7" s="464" t="str">
        <f ca="1">IF((N7-TODAY())/7&gt;=0,"En tiempo","Alerta")</f>
        <v>Alerta</v>
      </c>
      <c r="T7" s="465">
        <v>0.9</v>
      </c>
      <c r="U7" s="190">
        <f>IF(T7/H7=1,1,+T7/H7)</f>
        <v>0.9</v>
      </c>
      <c r="V7" s="466">
        <f>IF(R7&gt;O7,0%,IF(R7&lt;=0,"100%",1-(R7/O7)))</f>
        <v>0</v>
      </c>
      <c r="W7" s="467" t="str">
        <f>IF(P7&lt;=N7,"Cumple","Incumple")</f>
        <v>Incumple</v>
      </c>
      <c r="X7" s="293"/>
      <c r="Y7" s="573" t="s">
        <v>167</v>
      </c>
      <c r="Z7" s="293">
        <f>(U7+V7)/2</f>
        <v>0.45</v>
      </c>
      <c r="AA7" s="293"/>
      <c r="AB7" s="293"/>
      <c r="AC7" s="293">
        <f>AVERAGE(Z7:AB7)</f>
        <v>0.45</v>
      </c>
      <c r="AD7" s="293"/>
    </row>
    <row r="8" spans="1:30" ht="142.5" customHeight="1">
      <c r="A8" s="300" t="s">
        <v>51</v>
      </c>
      <c r="B8" s="300" t="s">
        <v>52</v>
      </c>
      <c r="C8" s="293" t="s">
        <v>168</v>
      </c>
      <c r="D8" s="293" t="s">
        <v>162</v>
      </c>
      <c r="E8" s="293" t="s">
        <v>169</v>
      </c>
      <c r="F8" s="293" t="s">
        <v>170</v>
      </c>
      <c r="G8" s="293" t="s">
        <v>171</v>
      </c>
      <c r="H8" s="293">
        <v>1</v>
      </c>
      <c r="I8" s="293" t="s">
        <v>166</v>
      </c>
      <c r="J8" s="293" t="s">
        <v>59</v>
      </c>
      <c r="K8" s="293" t="s">
        <v>60</v>
      </c>
      <c r="L8" s="293" t="s">
        <v>171</v>
      </c>
      <c r="M8" s="461">
        <v>42461</v>
      </c>
      <c r="N8" s="461">
        <v>42734</v>
      </c>
      <c r="O8" s="462">
        <f t="shared" ref="O8:O17" si="0">(+N8-M8)/7</f>
        <v>39</v>
      </c>
      <c r="P8" s="294">
        <v>45106</v>
      </c>
      <c r="Q8" s="293"/>
      <c r="R8" s="463">
        <f t="shared" ref="R8:R17" si="1">(P8-M8)/7-O8</f>
        <v>338.85714285714283</v>
      </c>
      <c r="S8" s="464" t="str">
        <f t="shared" ref="S8:S17" ca="1" si="2">IF((N8-TODAY())/7&gt;=0,"En tiempo","Alerta")</f>
        <v>Alerta</v>
      </c>
      <c r="T8" s="465">
        <v>0.3</v>
      </c>
      <c r="U8" s="190">
        <v>0.3</v>
      </c>
      <c r="V8" s="466">
        <f t="shared" ref="V8:V17" si="3">IF(R8&gt;O8,0%,IF(R8&lt;=0,"100%",1-(R8/O8)))</f>
        <v>0</v>
      </c>
      <c r="W8" s="467" t="str">
        <f t="shared" ref="W8:W17" si="4">IF(P8&lt;=N8,"Cumple","Incumple")</f>
        <v>Incumple</v>
      </c>
      <c r="X8" s="293" t="s">
        <v>172</v>
      </c>
      <c r="Y8" s="573" t="s">
        <v>173</v>
      </c>
      <c r="Z8" s="293">
        <f>(U8+V8)/2</f>
        <v>0.15</v>
      </c>
      <c r="AA8" s="293"/>
      <c r="AB8" s="293"/>
      <c r="AC8" s="293">
        <f>AVERAGE(Z8:AB8)</f>
        <v>0.15</v>
      </c>
      <c r="AD8" s="293"/>
    </row>
    <row r="9" spans="1:30" ht="164.25" customHeight="1">
      <c r="A9" s="300" t="s">
        <v>51</v>
      </c>
      <c r="B9" s="300" t="s">
        <v>52</v>
      </c>
      <c r="C9" s="300" t="s">
        <v>174</v>
      </c>
      <c r="D9" s="293" t="s">
        <v>162</v>
      </c>
      <c r="E9" s="293" t="s">
        <v>169</v>
      </c>
      <c r="F9" s="293" t="s">
        <v>175</v>
      </c>
      <c r="G9" s="293" t="s">
        <v>176</v>
      </c>
      <c r="H9" s="293">
        <v>1</v>
      </c>
      <c r="I9" s="293" t="s">
        <v>177</v>
      </c>
      <c r="J9" s="293" t="s">
        <v>59</v>
      </c>
      <c r="K9" s="293" t="s">
        <v>60</v>
      </c>
      <c r="L9" s="293" t="s">
        <v>176</v>
      </c>
      <c r="M9" s="461">
        <v>42461</v>
      </c>
      <c r="N9" s="461">
        <v>42734</v>
      </c>
      <c r="O9" s="462">
        <f t="shared" si="0"/>
        <v>39</v>
      </c>
      <c r="P9" s="294">
        <v>42734</v>
      </c>
      <c r="Q9" s="461"/>
      <c r="R9" s="463">
        <f t="shared" si="1"/>
        <v>0</v>
      </c>
      <c r="S9" s="464" t="str">
        <f t="shared" ca="1" si="2"/>
        <v>Alerta</v>
      </c>
      <c r="T9" s="465">
        <v>0.8</v>
      </c>
      <c r="U9" s="190">
        <f t="shared" ref="U9:U17" si="5">IF(T9/H9=1,1,+T9/H9)</f>
        <v>0.8</v>
      </c>
      <c r="V9" s="466" t="str">
        <f t="shared" si="3"/>
        <v>100%</v>
      </c>
      <c r="W9" s="467" t="str">
        <f t="shared" si="4"/>
        <v>Cumple</v>
      </c>
      <c r="X9" s="293"/>
      <c r="Y9" s="573" t="s">
        <v>178</v>
      </c>
      <c r="Z9" s="293">
        <f>(U9+V9)/2</f>
        <v>0.9</v>
      </c>
      <c r="AA9" s="293"/>
      <c r="AB9" s="293"/>
      <c r="AC9" s="293">
        <f>AVERAGE(Z9:AB9)</f>
        <v>0.9</v>
      </c>
      <c r="AD9" s="293"/>
    </row>
    <row r="10" spans="1:30" ht="408.75" customHeight="1">
      <c r="A10" s="300" t="s">
        <v>51</v>
      </c>
      <c r="B10" s="300" t="s">
        <v>52</v>
      </c>
      <c r="C10" s="293" t="s">
        <v>179</v>
      </c>
      <c r="D10" s="293" t="s">
        <v>162</v>
      </c>
      <c r="E10" s="293" t="s">
        <v>169</v>
      </c>
      <c r="F10" s="293" t="s">
        <v>180</v>
      </c>
      <c r="G10" s="293" t="s">
        <v>181</v>
      </c>
      <c r="H10" s="293">
        <v>2</v>
      </c>
      <c r="I10" s="293" t="s">
        <v>177</v>
      </c>
      <c r="J10" s="293" t="s">
        <v>59</v>
      </c>
      <c r="K10" s="293" t="s">
        <v>60</v>
      </c>
      <c r="L10" s="293" t="s">
        <v>181</v>
      </c>
      <c r="M10" s="461">
        <v>42461</v>
      </c>
      <c r="N10" s="461">
        <v>42734</v>
      </c>
      <c r="O10" s="462">
        <f t="shared" si="0"/>
        <v>39</v>
      </c>
      <c r="P10" s="460">
        <v>42734</v>
      </c>
      <c r="Q10" s="461">
        <v>42734</v>
      </c>
      <c r="R10" s="463">
        <f t="shared" si="1"/>
        <v>0</v>
      </c>
      <c r="S10" s="464" t="str">
        <f t="shared" ca="1" si="2"/>
        <v>Alerta</v>
      </c>
      <c r="T10" s="465">
        <v>1.8</v>
      </c>
      <c r="U10" s="190">
        <f t="shared" si="5"/>
        <v>0.9</v>
      </c>
      <c r="V10" s="466" t="str">
        <f t="shared" si="3"/>
        <v>100%</v>
      </c>
      <c r="W10" s="467" t="str">
        <f t="shared" si="4"/>
        <v>Cumple</v>
      </c>
      <c r="X10" s="293"/>
      <c r="Y10" s="573" t="s">
        <v>182</v>
      </c>
      <c r="Z10" s="293">
        <f>(U10+V10)/2</f>
        <v>0.95</v>
      </c>
      <c r="AA10" s="293"/>
      <c r="AB10" s="293"/>
      <c r="AC10" s="293">
        <f>AVERAGE(Z10:AB10)</f>
        <v>0.95</v>
      </c>
      <c r="AD10" s="293"/>
    </row>
    <row r="11" spans="1:30" ht="173.25">
      <c r="A11" s="300" t="s">
        <v>51</v>
      </c>
      <c r="B11" s="300" t="s">
        <v>52</v>
      </c>
      <c r="C11" s="293" t="s">
        <v>183</v>
      </c>
      <c r="D11" s="293" t="s">
        <v>162</v>
      </c>
      <c r="E11" s="293" t="s">
        <v>169</v>
      </c>
      <c r="F11" s="293" t="s">
        <v>184</v>
      </c>
      <c r="G11" s="293" t="s">
        <v>185</v>
      </c>
      <c r="H11" s="293">
        <v>1</v>
      </c>
      <c r="I11" s="293" t="s">
        <v>186</v>
      </c>
      <c r="J11" s="293" t="s">
        <v>59</v>
      </c>
      <c r="K11" s="293" t="s">
        <v>60</v>
      </c>
      <c r="L11" s="293" t="s">
        <v>185</v>
      </c>
      <c r="M11" s="461">
        <v>42461</v>
      </c>
      <c r="N11" s="461">
        <v>42734</v>
      </c>
      <c r="O11" s="462">
        <f t="shared" si="0"/>
        <v>39</v>
      </c>
      <c r="P11" s="294">
        <v>44742</v>
      </c>
      <c r="Q11" s="294">
        <v>44742</v>
      </c>
      <c r="R11" s="463">
        <f t="shared" si="1"/>
        <v>286.85714285714283</v>
      </c>
      <c r="S11" s="464" t="str">
        <f t="shared" ca="1" si="2"/>
        <v>Alerta</v>
      </c>
      <c r="T11" s="465">
        <v>0.9</v>
      </c>
      <c r="U11" s="190">
        <f t="shared" si="5"/>
        <v>0.9</v>
      </c>
      <c r="V11" s="466">
        <f t="shared" si="3"/>
        <v>0</v>
      </c>
      <c r="W11" s="467" t="str">
        <f t="shared" si="4"/>
        <v>Incumple</v>
      </c>
      <c r="X11" s="293"/>
      <c r="Y11" s="573" t="s">
        <v>187</v>
      </c>
      <c r="Z11" s="293">
        <f t="shared" ref="Z11:Z17" si="6">(U11+V11)/2</f>
        <v>0.45</v>
      </c>
      <c r="AA11" s="293"/>
      <c r="AB11" s="293"/>
      <c r="AC11" s="293">
        <f t="shared" ref="AC11:AC17" si="7">AVERAGE(Z11:AB11)</f>
        <v>0.45</v>
      </c>
      <c r="AD11" s="293"/>
    </row>
    <row r="12" spans="1:30" ht="289.5">
      <c r="A12" s="300" t="s">
        <v>51</v>
      </c>
      <c r="B12" s="300" t="s">
        <v>52</v>
      </c>
      <c r="C12" s="300" t="s">
        <v>188</v>
      </c>
      <c r="D12" s="293" t="s">
        <v>162</v>
      </c>
      <c r="E12" s="293" t="s">
        <v>189</v>
      </c>
      <c r="F12" s="293" t="s">
        <v>190</v>
      </c>
      <c r="G12" s="293" t="s">
        <v>191</v>
      </c>
      <c r="H12" s="293">
        <v>1</v>
      </c>
      <c r="I12" s="293" t="s">
        <v>166</v>
      </c>
      <c r="J12" s="293" t="s">
        <v>59</v>
      </c>
      <c r="K12" s="293" t="s">
        <v>60</v>
      </c>
      <c r="L12" s="293" t="s">
        <v>191</v>
      </c>
      <c r="M12" s="461">
        <v>42461</v>
      </c>
      <c r="N12" s="461">
        <v>42734</v>
      </c>
      <c r="O12" s="462">
        <f t="shared" si="0"/>
        <v>39</v>
      </c>
      <c r="P12" s="294">
        <v>44742</v>
      </c>
      <c r="Q12" s="294">
        <v>44742</v>
      </c>
      <c r="R12" s="463">
        <f t="shared" si="1"/>
        <v>286.85714285714283</v>
      </c>
      <c r="S12" s="464" t="str">
        <f t="shared" ca="1" si="2"/>
        <v>Alerta</v>
      </c>
      <c r="T12" s="465">
        <v>1</v>
      </c>
      <c r="U12" s="190">
        <f t="shared" si="5"/>
        <v>1</v>
      </c>
      <c r="V12" s="466">
        <f t="shared" si="3"/>
        <v>0</v>
      </c>
      <c r="W12" s="467" t="str">
        <f t="shared" si="4"/>
        <v>Incumple</v>
      </c>
      <c r="X12" s="293"/>
      <c r="Y12" s="269"/>
      <c r="Z12" s="293">
        <f t="shared" si="6"/>
        <v>0.5</v>
      </c>
      <c r="AA12" s="293"/>
      <c r="AB12" s="293"/>
      <c r="AC12" s="293">
        <f t="shared" si="7"/>
        <v>0.5</v>
      </c>
      <c r="AD12" s="293"/>
    </row>
    <row r="13" spans="1:30" ht="115.5">
      <c r="A13" s="300" t="s">
        <v>51</v>
      </c>
      <c r="B13" s="300" t="s">
        <v>52</v>
      </c>
      <c r="C13" s="300" t="s">
        <v>192</v>
      </c>
      <c r="D13" s="293" t="s">
        <v>162</v>
      </c>
      <c r="E13" s="293" t="s">
        <v>189</v>
      </c>
      <c r="F13" s="293" t="s">
        <v>193</v>
      </c>
      <c r="G13" s="293" t="s">
        <v>194</v>
      </c>
      <c r="H13" s="293">
        <v>1</v>
      </c>
      <c r="I13" s="293" t="s">
        <v>166</v>
      </c>
      <c r="J13" s="293" t="s">
        <v>59</v>
      </c>
      <c r="K13" s="293" t="s">
        <v>60</v>
      </c>
      <c r="L13" s="293" t="s">
        <v>194</v>
      </c>
      <c r="M13" s="461">
        <v>42461</v>
      </c>
      <c r="N13" s="461">
        <v>42734</v>
      </c>
      <c r="O13" s="462">
        <f t="shared" si="0"/>
        <v>39</v>
      </c>
      <c r="P13" s="294">
        <v>45106</v>
      </c>
      <c r="Q13" s="293"/>
      <c r="R13" s="463">
        <f t="shared" si="1"/>
        <v>338.85714285714283</v>
      </c>
      <c r="S13" s="464" t="str">
        <f t="shared" ca="1" si="2"/>
        <v>Alerta</v>
      </c>
      <c r="T13" s="465">
        <v>0.3</v>
      </c>
      <c r="U13" s="190">
        <f t="shared" si="5"/>
        <v>0.3</v>
      </c>
      <c r="V13" s="466">
        <f t="shared" si="3"/>
        <v>0</v>
      </c>
      <c r="W13" s="467" t="str">
        <f t="shared" si="4"/>
        <v>Incumple</v>
      </c>
      <c r="X13" s="293" t="s">
        <v>195</v>
      </c>
      <c r="Y13" s="573" t="s">
        <v>196</v>
      </c>
      <c r="Z13" s="293">
        <f t="shared" si="6"/>
        <v>0.15</v>
      </c>
      <c r="AA13" s="293"/>
      <c r="AB13" s="293"/>
      <c r="AC13" s="293">
        <f t="shared" si="7"/>
        <v>0.15</v>
      </c>
      <c r="AD13" s="293"/>
    </row>
    <row r="14" spans="1:30" ht="101.25">
      <c r="A14" s="300" t="s">
        <v>51</v>
      </c>
      <c r="B14" s="300" t="s">
        <v>52</v>
      </c>
      <c r="C14" s="300" t="s">
        <v>197</v>
      </c>
      <c r="D14" s="293" t="s">
        <v>162</v>
      </c>
      <c r="E14" s="293" t="s">
        <v>198</v>
      </c>
      <c r="F14" s="293" t="s">
        <v>199</v>
      </c>
      <c r="G14" s="293" t="s">
        <v>200</v>
      </c>
      <c r="H14" s="293">
        <v>1</v>
      </c>
      <c r="I14" s="293" t="s">
        <v>166</v>
      </c>
      <c r="J14" s="293" t="s">
        <v>59</v>
      </c>
      <c r="K14" s="293" t="s">
        <v>60</v>
      </c>
      <c r="L14" s="293" t="s">
        <v>200</v>
      </c>
      <c r="M14" s="461">
        <v>42461</v>
      </c>
      <c r="N14" s="461">
        <v>42734</v>
      </c>
      <c r="O14" s="462">
        <f t="shared" si="0"/>
        <v>39</v>
      </c>
      <c r="P14" s="294">
        <v>45106</v>
      </c>
      <c r="Q14" s="294">
        <v>45106</v>
      </c>
      <c r="R14" s="463">
        <f t="shared" si="1"/>
        <v>338.85714285714283</v>
      </c>
      <c r="S14" s="464" t="str">
        <f t="shared" ca="1" si="2"/>
        <v>Alerta</v>
      </c>
      <c r="T14" s="465">
        <v>1</v>
      </c>
      <c r="U14" s="190">
        <f t="shared" si="5"/>
        <v>1</v>
      </c>
      <c r="V14" s="466">
        <f t="shared" si="3"/>
        <v>0</v>
      </c>
      <c r="W14" s="467" t="str">
        <f t="shared" si="4"/>
        <v>Incumple</v>
      </c>
      <c r="X14" s="293" t="s">
        <v>201</v>
      </c>
      <c r="Y14" s="573" t="s">
        <v>202</v>
      </c>
      <c r="Z14" s="293">
        <f t="shared" si="6"/>
        <v>0.5</v>
      </c>
      <c r="AA14" s="293"/>
      <c r="AB14" s="293"/>
      <c r="AC14" s="293">
        <f t="shared" si="7"/>
        <v>0.5</v>
      </c>
      <c r="AD14" s="293"/>
    </row>
    <row r="15" spans="1:30" ht="303.75">
      <c r="A15" s="300" t="s">
        <v>51</v>
      </c>
      <c r="B15" s="300" t="s">
        <v>52</v>
      </c>
      <c r="C15" s="300" t="s">
        <v>203</v>
      </c>
      <c r="D15" s="293" t="s">
        <v>162</v>
      </c>
      <c r="E15" s="293" t="s">
        <v>204</v>
      </c>
      <c r="F15" s="293" t="s">
        <v>205</v>
      </c>
      <c r="G15" s="293" t="s">
        <v>206</v>
      </c>
      <c r="H15" s="293">
        <v>1</v>
      </c>
      <c r="I15" s="293" t="s">
        <v>166</v>
      </c>
      <c r="J15" s="293" t="s">
        <v>59</v>
      </c>
      <c r="K15" s="293" t="s">
        <v>60</v>
      </c>
      <c r="L15" s="293" t="s">
        <v>206</v>
      </c>
      <c r="M15" s="461">
        <v>42461</v>
      </c>
      <c r="N15" s="461">
        <v>42734</v>
      </c>
      <c r="O15" s="462">
        <f t="shared" si="0"/>
        <v>39</v>
      </c>
      <c r="P15" s="294">
        <v>45106</v>
      </c>
      <c r="Q15" s="294">
        <v>45106</v>
      </c>
      <c r="R15" s="463">
        <f t="shared" si="1"/>
        <v>338.85714285714283</v>
      </c>
      <c r="S15" s="464" t="str">
        <f t="shared" ca="1" si="2"/>
        <v>Alerta</v>
      </c>
      <c r="T15" s="465">
        <v>0.9</v>
      </c>
      <c r="U15" s="190">
        <f t="shared" si="5"/>
        <v>0.9</v>
      </c>
      <c r="V15" s="466">
        <f t="shared" si="3"/>
        <v>0</v>
      </c>
      <c r="W15" s="467" t="str">
        <f t="shared" si="4"/>
        <v>Incumple</v>
      </c>
      <c r="X15" s="293" t="s">
        <v>207</v>
      </c>
      <c r="Y15" s="573" t="s">
        <v>208</v>
      </c>
      <c r="Z15" s="293">
        <f t="shared" si="6"/>
        <v>0.45</v>
      </c>
      <c r="AA15" s="293"/>
      <c r="AB15" s="293"/>
      <c r="AC15" s="293">
        <f t="shared" si="7"/>
        <v>0.45</v>
      </c>
      <c r="AD15" s="293"/>
    </row>
    <row r="16" spans="1:30" ht="101.25">
      <c r="A16" s="300" t="s">
        <v>51</v>
      </c>
      <c r="B16" s="300" t="s">
        <v>52</v>
      </c>
      <c r="C16" s="300" t="s">
        <v>209</v>
      </c>
      <c r="D16" s="293" t="s">
        <v>162</v>
      </c>
      <c r="E16" s="293" t="s">
        <v>210</v>
      </c>
      <c r="F16" s="293" t="s">
        <v>211</v>
      </c>
      <c r="G16" s="293" t="s">
        <v>212</v>
      </c>
      <c r="H16" s="293">
        <v>1</v>
      </c>
      <c r="I16" s="293" t="s">
        <v>166</v>
      </c>
      <c r="J16" s="293" t="s">
        <v>59</v>
      </c>
      <c r="K16" s="293" t="s">
        <v>60</v>
      </c>
      <c r="L16" s="293" t="s">
        <v>212</v>
      </c>
      <c r="M16" s="461">
        <v>42461</v>
      </c>
      <c r="N16" s="461">
        <v>42734</v>
      </c>
      <c r="O16" s="462">
        <f t="shared" si="0"/>
        <v>39</v>
      </c>
      <c r="P16" s="460">
        <v>42734</v>
      </c>
      <c r="Q16" s="461">
        <v>42734</v>
      </c>
      <c r="R16" s="463">
        <f t="shared" si="1"/>
        <v>0</v>
      </c>
      <c r="S16" s="464" t="str">
        <f t="shared" ca="1" si="2"/>
        <v>Alerta</v>
      </c>
      <c r="T16" s="465">
        <v>0.9</v>
      </c>
      <c r="U16" s="190">
        <f t="shared" si="5"/>
        <v>0.9</v>
      </c>
      <c r="V16" s="466" t="str">
        <f t="shared" si="3"/>
        <v>100%</v>
      </c>
      <c r="W16" s="467" t="str">
        <f t="shared" si="4"/>
        <v>Cumple</v>
      </c>
      <c r="X16" s="293"/>
      <c r="Y16" s="573" t="s">
        <v>213</v>
      </c>
      <c r="Z16" s="293">
        <f t="shared" si="6"/>
        <v>0.95</v>
      </c>
      <c r="AA16" s="293"/>
      <c r="AB16" s="293"/>
      <c r="AC16" s="293">
        <f t="shared" si="7"/>
        <v>0.95</v>
      </c>
      <c r="AD16" s="293"/>
    </row>
    <row r="17" spans="1:30" ht="101.25">
      <c r="A17" s="300" t="s">
        <v>51</v>
      </c>
      <c r="B17" s="300" t="s">
        <v>52</v>
      </c>
      <c r="C17" s="300" t="s">
        <v>214</v>
      </c>
      <c r="D17" s="293" t="s">
        <v>162</v>
      </c>
      <c r="E17" s="293" t="s">
        <v>210</v>
      </c>
      <c r="F17" s="293" t="s">
        <v>215</v>
      </c>
      <c r="G17" s="293" t="s">
        <v>216</v>
      </c>
      <c r="H17" s="293">
        <v>1</v>
      </c>
      <c r="I17" s="293" t="s">
        <v>166</v>
      </c>
      <c r="J17" s="293" t="s">
        <v>59</v>
      </c>
      <c r="K17" s="293" t="s">
        <v>60</v>
      </c>
      <c r="L17" s="293" t="s">
        <v>216</v>
      </c>
      <c r="M17" s="461">
        <v>42461</v>
      </c>
      <c r="N17" s="461">
        <v>42734</v>
      </c>
      <c r="O17" s="462">
        <f t="shared" si="0"/>
        <v>39</v>
      </c>
      <c r="P17" s="460">
        <v>42734</v>
      </c>
      <c r="Q17" s="461">
        <v>42734</v>
      </c>
      <c r="R17" s="463">
        <f t="shared" si="1"/>
        <v>0</v>
      </c>
      <c r="S17" s="464" t="str">
        <f t="shared" ca="1" si="2"/>
        <v>Alerta</v>
      </c>
      <c r="T17" s="465">
        <v>1</v>
      </c>
      <c r="U17" s="190">
        <f t="shared" si="5"/>
        <v>1</v>
      </c>
      <c r="V17" s="466" t="str">
        <f t="shared" si="3"/>
        <v>100%</v>
      </c>
      <c r="W17" s="467" t="str">
        <f t="shared" si="4"/>
        <v>Cumple</v>
      </c>
      <c r="X17" s="293"/>
      <c r="Y17" s="269" t="s">
        <v>217</v>
      </c>
      <c r="Z17" s="293">
        <f t="shared" si="6"/>
        <v>1</v>
      </c>
      <c r="AA17" s="293"/>
      <c r="AB17" s="293"/>
      <c r="AC17" s="293">
        <f t="shared" si="7"/>
        <v>1</v>
      </c>
      <c r="AD17" s="293"/>
    </row>
    <row r="18" spans="1:30" ht="15.75" thickBot="1">
      <c r="A18" s="54"/>
      <c r="B18" s="54"/>
      <c r="C18" s="54"/>
      <c r="D18" s="54"/>
      <c r="E18" s="54"/>
      <c r="F18" s="679" t="s">
        <v>153</v>
      </c>
      <c r="G18" s="679"/>
      <c r="H18" s="462">
        <f>SUM(H2:H17)</f>
        <v>12</v>
      </c>
      <c r="Q18" s="678" t="s">
        <v>154</v>
      </c>
      <c r="R18" s="678"/>
      <c r="S18" s="678"/>
      <c r="T18" s="465">
        <f>SUM(T2:T17)</f>
        <v>9.8000000000000007</v>
      </c>
      <c r="U18" s="161">
        <f>AVERAGE(U2:U17)</f>
        <v>0.80909090909090908</v>
      </c>
      <c r="V18" s="470" t="s">
        <v>43</v>
      </c>
      <c r="W18" s="471">
        <f>(COUNTIF(W2:W17,"Cumple"))/COUNTA(W2:W17)</f>
        <v>0.30769230769230771</v>
      </c>
      <c r="AA18" s="678" t="s">
        <v>154</v>
      </c>
      <c r="AB18" s="678"/>
      <c r="AC18" s="471">
        <f>AVERAGE(AC2:AC17)</f>
        <v>0.58636363636363642</v>
      </c>
    </row>
  </sheetData>
  <mergeCells count="30">
    <mergeCell ref="Z1:AD4"/>
    <mergeCell ref="AA18:AB18"/>
    <mergeCell ref="Q18:S18"/>
    <mergeCell ref="F18:G18"/>
    <mergeCell ref="O5:Y5"/>
    <mergeCell ref="Z5:AD5"/>
    <mergeCell ref="A5:N5"/>
    <mergeCell ref="A2:B2"/>
    <mergeCell ref="C2:F2"/>
    <mergeCell ref="G2:H2"/>
    <mergeCell ref="I2:N2"/>
    <mergeCell ref="Q3:V3"/>
    <mergeCell ref="A1:B1"/>
    <mergeCell ref="C1:N1"/>
    <mergeCell ref="A3:B3"/>
    <mergeCell ref="C3:F3"/>
    <mergeCell ref="G3:H3"/>
    <mergeCell ref="I3:N3"/>
    <mergeCell ref="O3:P3"/>
    <mergeCell ref="A4:B4"/>
    <mergeCell ref="C4:F4"/>
    <mergeCell ref="G4:H4"/>
    <mergeCell ref="I4:N4"/>
    <mergeCell ref="O4:P4"/>
    <mergeCell ref="O1:P2"/>
    <mergeCell ref="Q1:Y2"/>
    <mergeCell ref="W3:X3"/>
    <mergeCell ref="T4:U4"/>
    <mergeCell ref="V4:Y4"/>
    <mergeCell ref="Q4:S4"/>
  </mergeCells>
  <conditionalFormatting sqref="R7:R17">
    <cfRule type="cellIs" dxfId="515" priority="24" operator="greaterThan">
      <formula>0</formula>
    </cfRule>
    <cfRule type="cellIs" dxfId="514" priority="25" operator="lessThan">
      <formula>0</formula>
    </cfRule>
  </conditionalFormatting>
  <conditionalFormatting sqref="S7:S17">
    <cfRule type="containsText" dxfId="513" priority="22" operator="containsText" text="Alerta">
      <formula>NOT(ISERROR(SEARCH("Alerta",S7)))</formula>
    </cfRule>
    <cfRule type="containsText" dxfId="512" priority="23" operator="containsText" text="En tiempo">
      <formula>NOT(ISERROR(SEARCH("En tiempo",S7)))</formula>
    </cfRule>
  </conditionalFormatting>
  <conditionalFormatting sqref="U7:U18">
    <cfRule type="cellIs" dxfId="511" priority="1" stopIfTrue="1" operator="between">
      <formula>0.8</formula>
      <formula>1</formula>
    </cfRule>
    <cfRule type="cellIs" dxfId="510" priority="2" stopIfTrue="1" operator="between">
      <formula>0.5</formula>
      <formula>0.79</formula>
    </cfRule>
    <cfRule type="cellIs" dxfId="509" priority="3" stopIfTrue="1" operator="between">
      <formula>0.3</formula>
      <formula>0.49</formula>
    </cfRule>
    <cfRule type="cellIs" dxfId="508" priority="4" stopIfTrue="1" operator="between">
      <formula>0</formula>
      <formula>0.29</formula>
    </cfRule>
  </conditionalFormatting>
  <conditionalFormatting sqref="V7:V17">
    <cfRule type="cellIs" dxfId="507" priority="16" operator="between">
      <formula>0.19</formula>
      <formula>0</formula>
    </cfRule>
    <cfRule type="cellIs" dxfId="506" priority="17" operator="between">
      <formula>0.49</formula>
      <formula>0.2</formula>
    </cfRule>
    <cfRule type="cellIs" dxfId="505" priority="18" operator="between">
      <formula>0.89</formula>
      <formula>0.5</formula>
    </cfRule>
    <cfRule type="cellIs" dxfId="504" priority="19" operator="between">
      <formula>1</formula>
      <formula>0.9</formula>
    </cfRule>
  </conditionalFormatting>
  <conditionalFormatting sqref="W7:W17">
    <cfRule type="containsText" dxfId="503" priority="20" operator="containsText" text="Incumple">
      <formula>NOT(ISERROR(SEARCH("Incumple",W7)))</formula>
    </cfRule>
    <cfRule type="containsText" dxfId="502" priority="21" operator="containsText" text="Cumple">
      <formula>NOT(ISERROR(SEARCH("Cumple",W7)))</formula>
    </cfRule>
  </conditionalFormatting>
  <conditionalFormatting sqref="W18">
    <cfRule type="cellIs" dxfId="501" priority="8" operator="between">
      <formula>0.19</formula>
      <formula>0</formula>
    </cfRule>
    <cfRule type="cellIs" dxfId="500" priority="9" operator="between">
      <formula>0.49</formula>
      <formula>0.2</formula>
    </cfRule>
    <cfRule type="cellIs" dxfId="499" priority="10" operator="between">
      <formula>0.89</formula>
      <formula>0.5</formula>
    </cfRule>
    <cfRule type="cellIs" dxfId="498" priority="11" operator="between">
      <formula>1</formula>
      <formula>0.9</formula>
    </cfRule>
  </conditionalFormatting>
  <conditionalFormatting sqref="AC18">
    <cfRule type="cellIs" dxfId="497" priority="5" operator="between">
      <formula>0.3</formula>
      <formula>0</formula>
    </cfRule>
    <cfRule type="cellIs" dxfId="496" priority="6" operator="between">
      <formula>0.6999</formula>
      <formula>0.3111</formula>
    </cfRule>
    <cfRule type="cellIs" dxfId="495" priority="7" operator="between">
      <formula>1</formula>
      <formula>0.7</formula>
    </cfRule>
  </conditionalFormatting>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32C3E-5FA1-4B80-B89A-FCD7BE75C7B3}">
  <sheetPr>
    <tabColor rgb="FF00B0F0"/>
  </sheetPr>
  <dimension ref="A1:BB28"/>
  <sheetViews>
    <sheetView tabSelected="1" topLeftCell="C1" zoomScale="25" zoomScaleNormal="25" workbookViewId="0">
      <selection activeCell="N8" sqref="N8"/>
    </sheetView>
  </sheetViews>
  <sheetFormatPr defaultColWidth="17.5703125" defaultRowHeight="12.75"/>
  <cols>
    <col min="1" max="1" width="12.140625" style="53" customWidth="1"/>
    <col min="2" max="2" width="12.85546875" style="53" customWidth="1"/>
    <col min="3" max="3" width="52.140625" style="53" customWidth="1"/>
    <col min="4" max="4" width="32.85546875" style="53" customWidth="1"/>
    <col min="5" max="5" width="30.7109375" style="53" customWidth="1"/>
    <col min="6" max="6" width="38.140625" style="53" customWidth="1"/>
    <col min="7" max="7" width="32.85546875" style="53" customWidth="1"/>
    <col min="8" max="8" width="13" style="53" customWidth="1"/>
    <col min="9" max="9" width="26.5703125" style="53" customWidth="1"/>
    <col min="10" max="10" width="13.7109375" style="53" customWidth="1"/>
    <col min="11" max="11" width="21.42578125" style="53" customWidth="1"/>
    <col min="12" max="12" width="20.5703125" style="53" customWidth="1"/>
    <col min="13" max="14" width="13.42578125" style="53" customWidth="1"/>
    <col min="15" max="15" width="12" style="53" customWidth="1"/>
    <col min="16" max="16" width="21.7109375" style="53" customWidth="1"/>
    <col min="17" max="17" width="23.42578125" style="53" customWidth="1"/>
    <col min="18" max="18" width="11.5703125" style="53" customWidth="1"/>
    <col min="19" max="19" width="11.140625" style="53" customWidth="1"/>
    <col min="20" max="20" width="15" style="53" customWidth="1"/>
    <col min="21" max="21" width="16.5703125" style="53" customWidth="1"/>
    <col min="22" max="22" width="14.28515625" style="53" customWidth="1"/>
    <col min="23" max="23" width="16.7109375" style="53" customWidth="1"/>
    <col min="24" max="24" width="77.85546875" style="53" customWidth="1"/>
    <col min="25" max="25" width="73.140625" style="53" customWidth="1"/>
    <col min="26" max="26" width="12.28515625" style="53" customWidth="1"/>
    <col min="27" max="27" width="13.42578125" style="53" customWidth="1"/>
    <col min="28" max="28" width="14.140625" style="53" customWidth="1"/>
    <col min="29" max="29" width="12.5703125" style="53" customWidth="1"/>
    <col min="30" max="30" width="72.42578125" style="53" customWidth="1"/>
    <col min="31" max="39" width="9.140625"/>
    <col min="40" max="41" width="9.140625" style="574"/>
    <col min="42" max="42" width="28.5703125" style="574" customWidth="1"/>
    <col min="43" max="43" width="42" style="574" customWidth="1"/>
    <col min="44" max="44" width="17.5703125" style="574" customWidth="1"/>
    <col min="45" max="45" width="51.42578125" style="574" customWidth="1"/>
    <col min="46" max="46" width="8.5703125" style="574" customWidth="1"/>
    <col min="47" max="47" width="7.140625" style="574" customWidth="1"/>
    <col min="48" max="48" width="20.85546875" style="574" customWidth="1"/>
    <col min="49" max="49" width="17.5703125" style="574" customWidth="1"/>
    <col min="50" max="50" width="22.42578125" style="574" customWidth="1"/>
    <col min="51" max="54" width="17.5703125" style="574"/>
  </cols>
  <sheetData>
    <row r="1" spans="1:30" ht="105.75" customHeight="1">
      <c r="A1" s="772" t="s">
        <v>0</v>
      </c>
      <c r="B1" s="772"/>
      <c r="C1" s="772" t="s">
        <v>155</v>
      </c>
      <c r="D1" s="772"/>
      <c r="E1" s="772"/>
      <c r="F1" s="772"/>
      <c r="G1" s="772"/>
      <c r="H1" s="772"/>
      <c r="I1" s="772"/>
      <c r="J1" s="772"/>
      <c r="K1" s="772"/>
      <c r="L1" s="772"/>
      <c r="M1" s="772"/>
      <c r="N1" s="772"/>
      <c r="O1" s="772"/>
      <c r="P1" s="772"/>
      <c r="Q1" s="772" t="s">
        <v>1</v>
      </c>
      <c r="R1" s="772"/>
      <c r="S1" s="772"/>
      <c r="T1" s="772"/>
      <c r="U1" s="772"/>
      <c r="V1" s="772"/>
      <c r="W1" s="772"/>
      <c r="X1" s="772"/>
      <c r="Y1" s="772"/>
      <c r="Z1" s="772" t="s">
        <v>1</v>
      </c>
      <c r="AA1" s="772"/>
      <c r="AB1" s="772"/>
      <c r="AC1" s="772"/>
      <c r="AD1" s="772"/>
    </row>
    <row r="2" spans="1:30" ht="24.75" customHeight="1">
      <c r="A2" s="772" t="s">
        <v>2</v>
      </c>
      <c r="B2" s="772"/>
      <c r="C2" s="772" t="s">
        <v>3</v>
      </c>
      <c r="D2" s="773"/>
      <c r="E2" s="773"/>
      <c r="F2" s="773"/>
      <c r="G2" s="772" t="s">
        <v>4</v>
      </c>
      <c r="H2" s="772"/>
      <c r="I2" s="772" t="s">
        <v>5</v>
      </c>
      <c r="J2" s="772"/>
      <c r="K2" s="772"/>
      <c r="L2" s="772"/>
      <c r="M2" s="772"/>
      <c r="N2" s="772"/>
      <c r="O2" s="772"/>
      <c r="P2" s="772"/>
      <c r="Q2" s="772"/>
      <c r="R2" s="772"/>
      <c r="S2" s="772"/>
      <c r="T2" s="772"/>
      <c r="U2" s="772"/>
      <c r="V2" s="772"/>
      <c r="W2" s="772"/>
      <c r="X2" s="772"/>
      <c r="Y2" s="772"/>
      <c r="Z2" s="772"/>
      <c r="AA2" s="772"/>
      <c r="AB2" s="772"/>
      <c r="AC2" s="772"/>
      <c r="AD2" s="772"/>
    </row>
    <row r="3" spans="1:30" ht="28.5" customHeight="1">
      <c r="A3" s="774" t="s">
        <v>6</v>
      </c>
      <c r="B3" s="774"/>
      <c r="C3" s="772" t="s">
        <v>1856</v>
      </c>
      <c r="D3" s="772"/>
      <c r="E3" s="772"/>
      <c r="F3" s="772"/>
      <c r="G3" s="774" t="s">
        <v>8</v>
      </c>
      <c r="H3" s="774"/>
      <c r="I3" s="776">
        <v>45313</v>
      </c>
      <c r="J3" s="772"/>
      <c r="K3" s="772"/>
      <c r="L3" s="772"/>
      <c r="M3" s="772"/>
      <c r="N3" s="772"/>
      <c r="O3" s="774" t="s">
        <v>9</v>
      </c>
      <c r="P3" s="774"/>
      <c r="Q3" s="776"/>
      <c r="R3" s="776"/>
      <c r="S3" s="776"/>
      <c r="T3" s="776"/>
      <c r="U3" s="776"/>
      <c r="V3" s="776"/>
      <c r="W3" s="248"/>
      <c r="X3" s="249" t="s">
        <v>10</v>
      </c>
      <c r="Y3" s="308" t="s">
        <v>1857</v>
      </c>
      <c r="Z3" s="772"/>
      <c r="AA3" s="772"/>
      <c r="AB3" s="772"/>
      <c r="AC3" s="772"/>
      <c r="AD3" s="772"/>
    </row>
    <row r="4" spans="1:30" ht="29.25" customHeight="1">
      <c r="A4" s="774" t="s">
        <v>12</v>
      </c>
      <c r="B4" s="774"/>
      <c r="C4" s="772" t="s">
        <v>1858</v>
      </c>
      <c r="D4" s="772"/>
      <c r="E4" s="772"/>
      <c r="F4" s="772"/>
      <c r="G4" s="774" t="s">
        <v>14</v>
      </c>
      <c r="H4" s="774"/>
      <c r="I4" s="776">
        <f>I3+365</f>
        <v>45678</v>
      </c>
      <c r="J4" s="776"/>
      <c r="K4" s="776"/>
      <c r="L4" s="776"/>
      <c r="M4" s="776"/>
      <c r="N4" s="776"/>
      <c r="O4" s="774" t="s">
        <v>15</v>
      </c>
      <c r="P4" s="774"/>
      <c r="Q4" s="772" t="s">
        <v>16</v>
      </c>
      <c r="R4" s="772"/>
      <c r="S4" s="772"/>
      <c r="T4" s="774" t="s">
        <v>17</v>
      </c>
      <c r="U4" s="774"/>
      <c r="V4" s="772"/>
      <c r="W4" s="772"/>
      <c r="X4" s="772"/>
      <c r="Y4" s="772"/>
      <c r="Z4" s="772"/>
      <c r="AA4" s="772"/>
      <c r="AB4" s="772"/>
      <c r="AC4" s="772"/>
      <c r="AD4" s="772"/>
    </row>
    <row r="5" spans="1:30" ht="20.25" customHeight="1">
      <c r="A5" s="781" t="s">
        <v>18</v>
      </c>
      <c r="B5" s="785"/>
      <c r="C5" s="781"/>
      <c r="D5" s="781"/>
      <c r="E5" s="781"/>
      <c r="F5" s="781"/>
      <c r="G5" s="781"/>
      <c r="H5" s="781"/>
      <c r="I5" s="781"/>
      <c r="J5" s="781"/>
      <c r="K5" s="781"/>
      <c r="L5" s="781"/>
      <c r="M5" s="781"/>
      <c r="N5" s="781"/>
      <c r="O5" s="786" t="s">
        <v>19</v>
      </c>
      <c r="P5" s="782"/>
      <c r="Q5" s="782"/>
      <c r="R5" s="782"/>
      <c r="S5" s="782"/>
      <c r="T5" s="782"/>
      <c r="U5" s="782"/>
      <c r="V5" s="782"/>
      <c r="W5" s="782"/>
      <c r="X5" s="782"/>
      <c r="Y5" s="782"/>
      <c r="Z5" s="783" t="s">
        <v>20</v>
      </c>
      <c r="AA5" s="783"/>
      <c r="AB5" s="783"/>
      <c r="AC5" s="783"/>
      <c r="AD5" s="783"/>
    </row>
    <row r="6" spans="1:30" ht="105">
      <c r="A6" s="578" t="s">
        <v>21</v>
      </c>
      <c r="B6" s="606" t="s">
        <v>22</v>
      </c>
      <c r="C6" s="581" t="s">
        <v>770</v>
      </c>
      <c r="D6" s="575" t="s">
        <v>24</v>
      </c>
      <c r="E6" s="575" t="s">
        <v>25</v>
      </c>
      <c r="F6" s="575" t="s">
        <v>26</v>
      </c>
      <c r="G6" s="575" t="s">
        <v>27</v>
      </c>
      <c r="H6" s="575" t="s">
        <v>28</v>
      </c>
      <c r="I6" s="575" t="s">
        <v>29</v>
      </c>
      <c r="J6" s="575" t="s">
        <v>30</v>
      </c>
      <c r="K6" s="575" t="s">
        <v>31</v>
      </c>
      <c r="L6" s="575" t="s">
        <v>32</v>
      </c>
      <c r="M6" s="575" t="s">
        <v>33</v>
      </c>
      <c r="N6" s="578" t="s">
        <v>34</v>
      </c>
      <c r="O6" s="580" t="s">
        <v>35</v>
      </c>
      <c r="P6" s="579" t="s">
        <v>36</v>
      </c>
      <c r="Q6" s="577" t="s">
        <v>37</v>
      </c>
      <c r="R6" s="577" t="s">
        <v>38</v>
      </c>
      <c r="S6" s="577" t="s">
        <v>39</v>
      </c>
      <c r="T6" s="577" t="s">
        <v>40</v>
      </c>
      <c r="U6" s="577" t="s">
        <v>41</v>
      </c>
      <c r="V6" s="577" t="s">
        <v>42</v>
      </c>
      <c r="W6" s="577" t="s">
        <v>43</v>
      </c>
      <c r="X6" s="577" t="s">
        <v>44</v>
      </c>
      <c r="Y6" s="577" t="s">
        <v>45</v>
      </c>
      <c r="Z6" s="593" t="s">
        <v>46</v>
      </c>
      <c r="AA6" s="593" t="s">
        <v>771</v>
      </c>
      <c r="AB6" s="593" t="s">
        <v>48</v>
      </c>
      <c r="AC6" s="593" t="s">
        <v>49</v>
      </c>
      <c r="AD6" s="593" t="s">
        <v>50</v>
      </c>
    </row>
    <row r="7" spans="1:30" ht="122.25" customHeight="1">
      <c r="A7" s="597" t="s">
        <v>341</v>
      </c>
      <c r="B7" s="597" t="s">
        <v>583</v>
      </c>
      <c r="C7" s="576" t="s">
        <v>1859</v>
      </c>
      <c r="D7" s="576" t="s">
        <v>1860</v>
      </c>
      <c r="E7" s="576" t="s">
        <v>1861</v>
      </c>
      <c r="F7" s="576" t="s">
        <v>1862</v>
      </c>
      <c r="G7" s="576" t="s">
        <v>1863</v>
      </c>
      <c r="H7" s="598">
        <v>1</v>
      </c>
      <c r="I7" s="576" t="s">
        <v>1864</v>
      </c>
      <c r="J7" s="576" t="s">
        <v>695</v>
      </c>
      <c r="K7" s="576" t="s">
        <v>778</v>
      </c>
      <c r="L7" s="576" t="s">
        <v>1865</v>
      </c>
      <c r="M7" s="599">
        <v>45293</v>
      </c>
      <c r="N7" s="599">
        <v>45648</v>
      </c>
      <c r="O7" s="605">
        <f>(N7-M7)/7</f>
        <v>50.714285714285715</v>
      </c>
      <c r="P7" s="582"/>
      <c r="Q7" s="582"/>
      <c r="R7" s="583">
        <f>(Q7-M7)/7-O7</f>
        <v>-6521.1428571428569</v>
      </c>
      <c r="S7" s="584" t="str">
        <f ca="1">IF((N7-TODAY())/7&gt;=0,"En tiempo","Alerta")</f>
        <v>En tiempo</v>
      </c>
      <c r="T7" s="585"/>
      <c r="U7" s="586">
        <f>IF(T7/H7=1,1,+T7/H7)</f>
        <v>0</v>
      </c>
      <c r="V7" s="586" t="str">
        <f>IF(R7&gt;O7,0%,IF(R7&lt;=0,"100%",1-(R7/O7)))</f>
        <v>100%</v>
      </c>
      <c r="W7" s="587" t="str">
        <f>IF(Q7&lt;=N7,"Cumple","Incumple")</f>
        <v>Cumple</v>
      </c>
      <c r="X7" s="588"/>
      <c r="Y7" s="607" t="s">
        <v>1866</v>
      </c>
      <c r="Z7" s="586">
        <f>(U7+V7)/2</f>
        <v>0.5</v>
      </c>
      <c r="AA7" s="590"/>
      <c r="AB7" s="590"/>
      <c r="AC7" s="591">
        <f>AVERAGE(Z7:AB7)</f>
        <v>0.5</v>
      </c>
      <c r="AD7" s="592"/>
    </row>
    <row r="8" spans="1:30" ht="57.75" customHeight="1">
      <c r="A8" s="790" t="s">
        <v>341</v>
      </c>
      <c r="B8" s="790" t="s">
        <v>583</v>
      </c>
      <c r="C8" s="788" t="s">
        <v>1867</v>
      </c>
      <c r="D8" s="789" t="s">
        <v>1868</v>
      </c>
      <c r="E8" s="789" t="s">
        <v>1869</v>
      </c>
      <c r="F8" s="642" t="s">
        <v>1870</v>
      </c>
      <c r="G8" s="642" t="s">
        <v>1871</v>
      </c>
      <c r="H8" s="598">
        <v>1</v>
      </c>
      <c r="I8" s="576" t="s">
        <v>1872</v>
      </c>
      <c r="J8" s="576" t="s">
        <v>59</v>
      </c>
      <c r="K8" s="576" t="s">
        <v>778</v>
      </c>
      <c r="L8" s="576" t="s">
        <v>1873</v>
      </c>
      <c r="M8" s="599">
        <v>45293</v>
      </c>
      <c r="N8" s="599">
        <v>45648</v>
      </c>
      <c r="O8" s="605">
        <f t="shared" ref="O8:O27" si="0">(N8-M8)/7</f>
        <v>50.714285714285715</v>
      </c>
      <c r="P8" s="582"/>
      <c r="Q8" s="582"/>
      <c r="R8" s="583">
        <f t="shared" ref="R8:R27" si="1">(Q8-M8)/7-O8</f>
        <v>-6521.1428571428569</v>
      </c>
      <c r="S8" s="584" t="str">
        <f t="shared" ref="S8:S27" ca="1" si="2">IF((N8-TODAY())/7&gt;=0,"En tiempo","Alerta")</f>
        <v>En tiempo</v>
      </c>
      <c r="T8" s="585"/>
      <c r="U8" s="586">
        <f t="shared" ref="U8:U27" si="3">IF(T8/H8=1,1,+T8/H8)</f>
        <v>0</v>
      </c>
      <c r="V8" s="586" t="str">
        <f t="shared" ref="V8:V27" si="4">IF(R8&gt;O8,0%,IF(R8&lt;=0,"100%",1-(R8/O8)))</f>
        <v>100%</v>
      </c>
      <c r="W8" s="587" t="str">
        <f t="shared" ref="W8:W27" si="5">IF(Q8&lt;=N8,"Cumple","Incumple")</f>
        <v>Cumple</v>
      </c>
      <c r="X8" s="588"/>
      <c r="Y8" s="589"/>
      <c r="Z8" s="586">
        <f t="shared" ref="Z8:Z27" si="6">(U8+V8)/2</f>
        <v>0.5</v>
      </c>
      <c r="AA8" s="590"/>
      <c r="AB8" s="590"/>
      <c r="AC8" s="591">
        <f t="shared" ref="AC8:AC27" si="7">AVERAGE(Z8:AB8)</f>
        <v>0.5</v>
      </c>
      <c r="AD8" s="592"/>
    </row>
    <row r="9" spans="1:30" ht="50.25">
      <c r="A9" s="790"/>
      <c r="B9" s="790"/>
      <c r="C9" s="788"/>
      <c r="D9" s="789"/>
      <c r="E9" s="789"/>
      <c r="F9" s="642" t="s">
        <v>1874</v>
      </c>
      <c r="G9" s="642" t="s">
        <v>1875</v>
      </c>
      <c r="H9" s="598">
        <v>1</v>
      </c>
      <c r="I9" s="576" t="s">
        <v>1872</v>
      </c>
      <c r="J9" s="576" t="s">
        <v>59</v>
      </c>
      <c r="K9" s="576" t="s">
        <v>778</v>
      </c>
      <c r="L9" s="576" t="s">
        <v>1876</v>
      </c>
      <c r="M9" s="599">
        <v>45293</v>
      </c>
      <c r="N9" s="599">
        <v>45648</v>
      </c>
      <c r="O9" s="605">
        <f t="shared" si="0"/>
        <v>50.714285714285715</v>
      </c>
      <c r="P9" s="582"/>
      <c r="Q9" s="582"/>
      <c r="R9" s="583">
        <f t="shared" si="1"/>
        <v>-6521.1428571428569</v>
      </c>
      <c r="S9" s="584" t="str">
        <f t="shared" ca="1" si="2"/>
        <v>En tiempo</v>
      </c>
      <c r="T9" s="585"/>
      <c r="U9" s="586">
        <f t="shared" si="3"/>
        <v>0</v>
      </c>
      <c r="V9" s="586" t="str">
        <f t="shared" si="4"/>
        <v>100%</v>
      </c>
      <c r="W9" s="587" t="str">
        <f t="shared" si="5"/>
        <v>Cumple</v>
      </c>
      <c r="X9" s="588"/>
      <c r="Y9" s="589"/>
      <c r="Z9" s="586">
        <f t="shared" si="6"/>
        <v>0.5</v>
      </c>
      <c r="AA9" s="590"/>
      <c r="AB9" s="590"/>
      <c r="AC9" s="591">
        <f t="shared" si="7"/>
        <v>0.5</v>
      </c>
      <c r="AD9" s="592"/>
    </row>
    <row r="10" spans="1:30" ht="51.75" customHeight="1">
      <c r="A10" s="597" t="s">
        <v>341</v>
      </c>
      <c r="B10" s="597" t="s">
        <v>583</v>
      </c>
      <c r="C10" s="792" t="s">
        <v>1877</v>
      </c>
      <c r="D10" s="795" t="s">
        <v>1878</v>
      </c>
      <c r="E10" s="795" t="s">
        <v>1879</v>
      </c>
      <c r="F10" s="642" t="s">
        <v>1880</v>
      </c>
      <c r="G10" s="642" t="s">
        <v>1881</v>
      </c>
      <c r="H10" s="598">
        <v>1</v>
      </c>
      <c r="I10" s="576" t="s">
        <v>1872</v>
      </c>
      <c r="J10" s="576" t="s">
        <v>59</v>
      </c>
      <c r="K10" s="576" t="s">
        <v>778</v>
      </c>
      <c r="L10" s="576" t="s">
        <v>1882</v>
      </c>
      <c r="M10" s="599">
        <v>45293</v>
      </c>
      <c r="N10" s="599">
        <v>45648</v>
      </c>
      <c r="O10" s="605">
        <f t="shared" si="0"/>
        <v>50.714285714285715</v>
      </c>
      <c r="P10" s="582"/>
      <c r="Q10" s="582"/>
      <c r="R10" s="583">
        <f t="shared" si="1"/>
        <v>-6521.1428571428569</v>
      </c>
      <c r="S10" s="584" t="str">
        <f t="shared" ca="1" si="2"/>
        <v>En tiempo</v>
      </c>
      <c r="T10" s="585"/>
      <c r="U10" s="586">
        <f t="shared" ref="U10:U12" si="8">IF(T10/H10=1,1,+T10/H10)</f>
        <v>0</v>
      </c>
      <c r="V10" s="586" t="str">
        <f t="shared" ref="V10:V12" si="9">IF(R10&gt;O10,0%,IF(R10&lt;=0,"100%",1-(R10/O10)))</f>
        <v>100%</v>
      </c>
      <c r="W10" s="587" t="str">
        <f t="shared" ref="W10:W12" si="10">IF(Q10&lt;=N10,"Cumple","Incumple")</f>
        <v>Cumple</v>
      </c>
      <c r="X10" s="588"/>
      <c r="Y10" s="589"/>
      <c r="Z10" s="586">
        <f t="shared" si="6"/>
        <v>0.5</v>
      </c>
      <c r="AA10" s="590"/>
      <c r="AB10" s="590"/>
      <c r="AC10" s="591">
        <f t="shared" si="7"/>
        <v>0.5</v>
      </c>
      <c r="AD10" s="592"/>
    </row>
    <row r="11" spans="1:30" ht="51.75" customHeight="1">
      <c r="A11" s="597" t="s">
        <v>341</v>
      </c>
      <c r="B11" s="597" t="s">
        <v>583</v>
      </c>
      <c r="C11" s="793"/>
      <c r="D11" s="796"/>
      <c r="E11" s="796"/>
      <c r="F11" s="642" t="s">
        <v>1883</v>
      </c>
      <c r="G11" s="642" t="s">
        <v>1884</v>
      </c>
      <c r="H11" s="598">
        <v>1</v>
      </c>
      <c r="I11" s="576" t="s">
        <v>1872</v>
      </c>
      <c r="J11" s="576" t="s">
        <v>59</v>
      </c>
      <c r="K11" s="576" t="s">
        <v>778</v>
      </c>
      <c r="L11" s="576" t="s">
        <v>1885</v>
      </c>
      <c r="M11" s="599">
        <v>45293</v>
      </c>
      <c r="N11" s="599">
        <v>45648</v>
      </c>
      <c r="O11" s="605">
        <f t="shared" si="0"/>
        <v>50.714285714285715</v>
      </c>
      <c r="P11" s="582"/>
      <c r="Q11" s="582"/>
      <c r="R11" s="583">
        <f t="shared" si="1"/>
        <v>-6521.1428571428569</v>
      </c>
      <c r="S11" s="584" t="str">
        <f t="shared" ca="1" si="2"/>
        <v>En tiempo</v>
      </c>
      <c r="T11" s="585"/>
      <c r="U11" s="586">
        <f t="shared" si="8"/>
        <v>0</v>
      </c>
      <c r="V11" s="586" t="str">
        <f t="shared" si="9"/>
        <v>100%</v>
      </c>
      <c r="W11" s="587" t="str">
        <f t="shared" si="10"/>
        <v>Cumple</v>
      </c>
      <c r="X11" s="588"/>
      <c r="Y11" s="589" t="s">
        <v>1886</v>
      </c>
      <c r="Z11" s="586">
        <f t="shared" si="6"/>
        <v>0.5</v>
      </c>
      <c r="AA11" s="590"/>
      <c r="AB11" s="590"/>
      <c r="AC11" s="591">
        <f t="shared" si="7"/>
        <v>0.5</v>
      </c>
      <c r="AD11" s="592"/>
    </row>
    <row r="12" spans="1:30" ht="51.75" customHeight="1">
      <c r="A12" s="597" t="s">
        <v>341</v>
      </c>
      <c r="B12" s="597" t="s">
        <v>583</v>
      </c>
      <c r="C12" s="793"/>
      <c r="D12" s="796"/>
      <c r="E12" s="796"/>
      <c r="F12" s="642" t="s">
        <v>1887</v>
      </c>
      <c r="G12" s="642" t="s">
        <v>1888</v>
      </c>
      <c r="H12" s="598">
        <v>1</v>
      </c>
      <c r="I12" s="576" t="s">
        <v>1872</v>
      </c>
      <c r="J12" s="576" t="s">
        <v>59</v>
      </c>
      <c r="K12" s="576" t="s">
        <v>778</v>
      </c>
      <c r="L12" s="576" t="s">
        <v>1889</v>
      </c>
      <c r="M12" s="599">
        <v>45293</v>
      </c>
      <c r="N12" s="599">
        <v>45648</v>
      </c>
      <c r="O12" s="605">
        <f t="shared" si="0"/>
        <v>50.714285714285715</v>
      </c>
      <c r="P12" s="582"/>
      <c r="Q12" s="582"/>
      <c r="R12" s="583">
        <f t="shared" si="1"/>
        <v>-6521.1428571428569</v>
      </c>
      <c r="S12" s="584" t="str">
        <f t="shared" ca="1" si="2"/>
        <v>En tiempo</v>
      </c>
      <c r="T12" s="585"/>
      <c r="U12" s="586">
        <f t="shared" si="8"/>
        <v>0</v>
      </c>
      <c r="V12" s="586" t="str">
        <f t="shared" si="9"/>
        <v>100%</v>
      </c>
      <c r="W12" s="587" t="str">
        <f t="shared" si="10"/>
        <v>Cumple</v>
      </c>
      <c r="X12" s="588"/>
      <c r="Y12" s="589" t="s">
        <v>1890</v>
      </c>
      <c r="Z12" s="586">
        <f t="shared" si="6"/>
        <v>0.5</v>
      </c>
      <c r="AA12" s="590"/>
      <c r="AB12" s="590"/>
      <c r="AC12" s="591">
        <f t="shared" si="7"/>
        <v>0.5</v>
      </c>
      <c r="AD12" s="592"/>
    </row>
    <row r="13" spans="1:30" ht="66" customHeight="1">
      <c r="A13" s="597" t="s">
        <v>341</v>
      </c>
      <c r="B13" s="597" t="s">
        <v>583</v>
      </c>
      <c r="C13" s="794"/>
      <c r="D13" s="797"/>
      <c r="E13" s="797"/>
      <c r="F13" s="642" t="s">
        <v>1891</v>
      </c>
      <c r="G13" s="642" t="s">
        <v>1892</v>
      </c>
      <c r="H13" s="598">
        <v>1</v>
      </c>
      <c r="I13" s="576" t="s">
        <v>1872</v>
      </c>
      <c r="J13" s="576" t="s">
        <v>59</v>
      </c>
      <c r="K13" s="576" t="s">
        <v>778</v>
      </c>
      <c r="L13" s="576" t="s">
        <v>1893</v>
      </c>
      <c r="M13" s="599">
        <v>45293</v>
      </c>
      <c r="N13" s="599">
        <v>45648</v>
      </c>
      <c r="O13" s="605">
        <f t="shared" si="0"/>
        <v>50.714285714285715</v>
      </c>
      <c r="P13" s="582"/>
      <c r="Q13" s="582"/>
      <c r="R13" s="583">
        <f t="shared" si="1"/>
        <v>-6521.1428571428569</v>
      </c>
      <c r="S13" s="584" t="str">
        <f t="shared" ca="1" si="2"/>
        <v>En tiempo</v>
      </c>
      <c r="T13" s="585"/>
      <c r="U13" s="586">
        <f t="shared" si="3"/>
        <v>0</v>
      </c>
      <c r="V13" s="586" t="str">
        <f t="shared" si="4"/>
        <v>100%</v>
      </c>
      <c r="W13" s="587" t="str">
        <f t="shared" si="5"/>
        <v>Cumple</v>
      </c>
      <c r="X13" s="588"/>
      <c r="Y13" s="589"/>
      <c r="Z13" s="586">
        <f t="shared" si="6"/>
        <v>0.5</v>
      </c>
      <c r="AA13" s="590"/>
      <c r="AB13" s="590"/>
      <c r="AC13" s="591">
        <f t="shared" si="7"/>
        <v>0.5</v>
      </c>
      <c r="AD13" s="592"/>
    </row>
    <row r="14" spans="1:30" ht="184.5">
      <c r="A14" s="597" t="s">
        <v>341</v>
      </c>
      <c r="B14" s="597" t="s">
        <v>583</v>
      </c>
      <c r="C14" s="576" t="s">
        <v>1894</v>
      </c>
      <c r="D14" s="642" t="s">
        <v>1895</v>
      </c>
      <c r="E14" s="642" t="s">
        <v>1896</v>
      </c>
      <c r="F14" s="642" t="s">
        <v>1897</v>
      </c>
      <c r="G14" s="642" t="s">
        <v>1898</v>
      </c>
      <c r="H14" s="598">
        <v>1</v>
      </c>
      <c r="I14" s="576" t="s">
        <v>1864</v>
      </c>
      <c r="J14" s="576" t="s">
        <v>59</v>
      </c>
      <c r="K14" s="576" t="s">
        <v>778</v>
      </c>
      <c r="L14" s="576" t="s">
        <v>1899</v>
      </c>
      <c r="M14" s="599">
        <v>45293</v>
      </c>
      <c r="N14" s="599">
        <v>45648</v>
      </c>
      <c r="O14" s="605">
        <f t="shared" si="0"/>
        <v>50.714285714285715</v>
      </c>
      <c r="P14" s="582"/>
      <c r="Q14" s="582"/>
      <c r="R14" s="583">
        <f t="shared" si="1"/>
        <v>-6521.1428571428569</v>
      </c>
      <c r="S14" s="584" t="str">
        <f t="shared" ca="1" si="2"/>
        <v>En tiempo</v>
      </c>
      <c r="T14" s="585"/>
      <c r="U14" s="586">
        <f t="shared" si="3"/>
        <v>0</v>
      </c>
      <c r="V14" s="586" t="str">
        <f t="shared" si="4"/>
        <v>100%</v>
      </c>
      <c r="W14" s="587" t="str">
        <f t="shared" si="5"/>
        <v>Cumple</v>
      </c>
      <c r="X14" s="588"/>
      <c r="Y14" s="589" t="s">
        <v>1900</v>
      </c>
      <c r="Z14" s="586">
        <f t="shared" si="6"/>
        <v>0.5</v>
      </c>
      <c r="AA14" s="590"/>
      <c r="AB14" s="590"/>
      <c r="AC14" s="591">
        <f t="shared" si="7"/>
        <v>0.5</v>
      </c>
      <c r="AD14" s="592"/>
    </row>
    <row r="15" spans="1:30" ht="75" customHeight="1">
      <c r="A15" s="597" t="s">
        <v>341</v>
      </c>
      <c r="B15" s="597" t="s">
        <v>583</v>
      </c>
      <c r="C15" s="788" t="s">
        <v>1901</v>
      </c>
      <c r="D15" s="789" t="s">
        <v>1902</v>
      </c>
      <c r="E15" s="789" t="s">
        <v>1903</v>
      </c>
      <c r="F15" s="642" t="s">
        <v>1904</v>
      </c>
      <c r="G15" s="642" t="s">
        <v>1905</v>
      </c>
      <c r="H15" s="598">
        <v>1</v>
      </c>
      <c r="I15" s="576" t="s">
        <v>1906</v>
      </c>
      <c r="J15" s="576" t="s">
        <v>59</v>
      </c>
      <c r="K15" s="576" t="s">
        <v>778</v>
      </c>
      <c r="L15" s="576" t="s">
        <v>1907</v>
      </c>
      <c r="M15" s="599">
        <v>45293</v>
      </c>
      <c r="N15" s="599">
        <v>45648</v>
      </c>
      <c r="O15" s="605">
        <f t="shared" si="0"/>
        <v>50.714285714285715</v>
      </c>
      <c r="P15" s="582"/>
      <c r="Q15" s="582"/>
      <c r="R15" s="583">
        <f t="shared" si="1"/>
        <v>-6521.1428571428569</v>
      </c>
      <c r="S15" s="584" t="str">
        <f t="shared" ca="1" si="2"/>
        <v>En tiempo</v>
      </c>
      <c r="T15" s="585"/>
      <c r="U15" s="586">
        <f t="shared" si="3"/>
        <v>0</v>
      </c>
      <c r="V15" s="586" t="str">
        <f t="shared" si="4"/>
        <v>100%</v>
      </c>
      <c r="W15" s="587" t="str">
        <f t="shared" si="5"/>
        <v>Cumple</v>
      </c>
      <c r="X15" s="588"/>
      <c r="Y15" s="589"/>
      <c r="Z15" s="586">
        <f t="shared" si="6"/>
        <v>0.5</v>
      </c>
      <c r="AA15" s="590"/>
      <c r="AB15" s="590"/>
      <c r="AC15" s="591">
        <f t="shared" si="7"/>
        <v>0.5</v>
      </c>
      <c r="AD15" s="592"/>
    </row>
    <row r="16" spans="1:30" ht="106.5" customHeight="1">
      <c r="A16" s="597" t="s">
        <v>341</v>
      </c>
      <c r="B16" s="597" t="s">
        <v>583</v>
      </c>
      <c r="C16" s="788"/>
      <c r="D16" s="789"/>
      <c r="E16" s="789"/>
      <c r="F16" s="642" t="s">
        <v>1908</v>
      </c>
      <c r="G16" s="642" t="s">
        <v>1909</v>
      </c>
      <c r="H16" s="598">
        <v>1</v>
      </c>
      <c r="I16" s="576" t="s">
        <v>1906</v>
      </c>
      <c r="J16" s="576" t="s">
        <v>59</v>
      </c>
      <c r="K16" s="576" t="s">
        <v>778</v>
      </c>
      <c r="L16" s="576" t="s">
        <v>1910</v>
      </c>
      <c r="M16" s="599">
        <v>45293</v>
      </c>
      <c r="N16" s="599">
        <v>45648</v>
      </c>
      <c r="O16" s="605">
        <f t="shared" si="0"/>
        <v>50.714285714285715</v>
      </c>
      <c r="P16" s="582"/>
      <c r="Q16" s="582"/>
      <c r="R16" s="583">
        <f t="shared" si="1"/>
        <v>-6521.1428571428569</v>
      </c>
      <c r="S16" s="584" t="str">
        <f t="shared" ca="1" si="2"/>
        <v>En tiempo</v>
      </c>
      <c r="T16" s="585"/>
      <c r="U16" s="586">
        <f t="shared" si="3"/>
        <v>0</v>
      </c>
      <c r="V16" s="586" t="str">
        <f t="shared" si="4"/>
        <v>100%</v>
      </c>
      <c r="W16" s="587" t="str">
        <f t="shared" si="5"/>
        <v>Cumple</v>
      </c>
      <c r="X16" s="588"/>
      <c r="Y16" s="589"/>
      <c r="Z16" s="586">
        <f t="shared" si="6"/>
        <v>0.5</v>
      </c>
      <c r="AA16" s="590"/>
      <c r="AB16" s="590"/>
      <c r="AC16" s="591">
        <f t="shared" si="7"/>
        <v>0.5</v>
      </c>
      <c r="AD16" s="592"/>
    </row>
    <row r="17" spans="1:30" ht="160.5" customHeight="1">
      <c r="A17" s="597" t="s">
        <v>341</v>
      </c>
      <c r="B17" s="597" t="s">
        <v>583</v>
      </c>
      <c r="C17" s="788" t="s">
        <v>1911</v>
      </c>
      <c r="D17" s="789" t="s">
        <v>1912</v>
      </c>
      <c r="E17" s="789" t="s">
        <v>1913</v>
      </c>
      <c r="F17" s="642" t="s">
        <v>1914</v>
      </c>
      <c r="G17" s="642" t="s">
        <v>1915</v>
      </c>
      <c r="H17" s="598">
        <v>1</v>
      </c>
      <c r="I17" s="576" t="s">
        <v>1906</v>
      </c>
      <c r="J17" s="576" t="s">
        <v>59</v>
      </c>
      <c r="K17" s="576" t="s">
        <v>778</v>
      </c>
      <c r="L17" s="576" t="s">
        <v>1916</v>
      </c>
      <c r="M17" s="599">
        <v>45293</v>
      </c>
      <c r="N17" s="599">
        <v>45648</v>
      </c>
      <c r="O17" s="605">
        <f t="shared" si="0"/>
        <v>50.714285714285715</v>
      </c>
      <c r="P17" s="582"/>
      <c r="Q17" s="582"/>
      <c r="R17" s="583">
        <f t="shared" si="1"/>
        <v>-6521.1428571428569</v>
      </c>
      <c r="S17" s="584" t="str">
        <f t="shared" ca="1" si="2"/>
        <v>En tiempo</v>
      </c>
      <c r="T17" s="585"/>
      <c r="U17" s="586">
        <f t="shared" si="3"/>
        <v>0</v>
      </c>
      <c r="V17" s="586" t="str">
        <f t="shared" si="4"/>
        <v>100%</v>
      </c>
      <c r="W17" s="587" t="str">
        <f t="shared" si="5"/>
        <v>Cumple</v>
      </c>
      <c r="X17" s="588"/>
      <c r="Y17" s="589"/>
      <c r="Z17" s="586">
        <f t="shared" si="6"/>
        <v>0.5</v>
      </c>
      <c r="AA17" s="590"/>
      <c r="AB17" s="590"/>
      <c r="AC17" s="591">
        <f t="shared" si="7"/>
        <v>0.5</v>
      </c>
      <c r="AD17" s="592"/>
    </row>
    <row r="18" spans="1:30" ht="78.75" customHeight="1">
      <c r="A18" s="597" t="s">
        <v>341</v>
      </c>
      <c r="B18" s="597" t="s">
        <v>583</v>
      </c>
      <c r="C18" s="788"/>
      <c r="D18" s="789"/>
      <c r="E18" s="789"/>
      <c r="F18" s="642" t="s">
        <v>1917</v>
      </c>
      <c r="G18" s="642" t="s">
        <v>1918</v>
      </c>
      <c r="H18" s="598">
        <v>1</v>
      </c>
      <c r="I18" s="576" t="s">
        <v>1906</v>
      </c>
      <c r="J18" s="576" t="s">
        <v>59</v>
      </c>
      <c r="K18" s="576" t="s">
        <v>778</v>
      </c>
      <c r="L18" s="576" t="s">
        <v>1919</v>
      </c>
      <c r="M18" s="599">
        <v>45293</v>
      </c>
      <c r="N18" s="599">
        <v>45648</v>
      </c>
      <c r="O18" s="605">
        <f t="shared" si="0"/>
        <v>50.714285714285715</v>
      </c>
      <c r="P18" s="582"/>
      <c r="Q18" s="582"/>
      <c r="R18" s="583">
        <f t="shared" si="1"/>
        <v>-6521.1428571428569</v>
      </c>
      <c r="S18" s="584" t="str">
        <f t="shared" ca="1" si="2"/>
        <v>En tiempo</v>
      </c>
      <c r="T18" s="585"/>
      <c r="U18" s="586">
        <f t="shared" si="3"/>
        <v>0</v>
      </c>
      <c r="V18" s="586" t="str">
        <f t="shared" si="4"/>
        <v>100%</v>
      </c>
      <c r="W18" s="587" t="str">
        <f t="shared" si="5"/>
        <v>Cumple</v>
      </c>
      <c r="X18" s="588"/>
      <c r="Y18" s="589"/>
      <c r="Z18" s="586">
        <f t="shared" si="6"/>
        <v>0.5</v>
      </c>
      <c r="AA18" s="590"/>
      <c r="AB18" s="590"/>
      <c r="AC18" s="591">
        <f t="shared" si="7"/>
        <v>0.5</v>
      </c>
      <c r="AD18" s="592"/>
    </row>
    <row r="19" spans="1:30" ht="93" customHeight="1">
      <c r="A19" s="597" t="s">
        <v>341</v>
      </c>
      <c r="B19" s="597" t="s">
        <v>583</v>
      </c>
      <c r="C19" s="576" t="s">
        <v>1920</v>
      </c>
      <c r="D19" s="604" t="s">
        <v>1921</v>
      </c>
      <c r="E19" s="604" t="s">
        <v>1922</v>
      </c>
      <c r="F19" s="604" t="s">
        <v>1923</v>
      </c>
      <c r="G19" s="604" t="s">
        <v>1924</v>
      </c>
      <c r="H19" s="601">
        <v>1</v>
      </c>
      <c r="I19" s="600" t="s">
        <v>1872</v>
      </c>
      <c r="J19" s="600" t="s">
        <v>59</v>
      </c>
      <c r="K19" s="600" t="s">
        <v>778</v>
      </c>
      <c r="L19" s="604" t="s">
        <v>1925</v>
      </c>
      <c r="M19" s="599">
        <v>45293</v>
      </c>
      <c r="N19" s="599">
        <v>45648</v>
      </c>
      <c r="O19" s="605">
        <f t="shared" si="0"/>
        <v>50.714285714285715</v>
      </c>
      <c r="P19" s="582"/>
      <c r="Q19" s="582"/>
      <c r="R19" s="583">
        <f t="shared" si="1"/>
        <v>-6521.1428571428569</v>
      </c>
      <c r="S19" s="584" t="str">
        <f t="shared" ca="1" si="2"/>
        <v>En tiempo</v>
      </c>
      <c r="T19" s="585"/>
      <c r="U19" s="586">
        <f t="shared" si="3"/>
        <v>0</v>
      </c>
      <c r="V19" s="586" t="str">
        <f t="shared" si="4"/>
        <v>100%</v>
      </c>
      <c r="W19" s="587" t="str">
        <f t="shared" si="5"/>
        <v>Cumple</v>
      </c>
      <c r="X19" s="588"/>
      <c r="Y19" s="589" t="s">
        <v>1926</v>
      </c>
      <c r="Z19" s="586">
        <f t="shared" si="6"/>
        <v>0.5</v>
      </c>
      <c r="AA19" s="590"/>
      <c r="AB19" s="590"/>
      <c r="AC19" s="591">
        <f t="shared" si="7"/>
        <v>0.5</v>
      </c>
      <c r="AD19" s="592"/>
    </row>
    <row r="20" spans="1:30" ht="79.5" customHeight="1">
      <c r="A20" s="597" t="s">
        <v>341</v>
      </c>
      <c r="B20" s="597" t="s">
        <v>583</v>
      </c>
      <c r="C20" s="600" t="s">
        <v>1927</v>
      </c>
      <c r="D20" s="791" t="s">
        <v>1928</v>
      </c>
      <c r="E20" s="791" t="s">
        <v>1929</v>
      </c>
      <c r="F20" s="604" t="s">
        <v>1930</v>
      </c>
      <c r="G20" s="604" t="s">
        <v>1931</v>
      </c>
      <c r="H20" s="601">
        <v>1</v>
      </c>
      <c r="I20" s="600" t="s">
        <v>1872</v>
      </c>
      <c r="J20" s="600" t="s">
        <v>59</v>
      </c>
      <c r="K20" s="600" t="s">
        <v>778</v>
      </c>
      <c r="L20" s="604" t="s">
        <v>1931</v>
      </c>
      <c r="M20" s="599">
        <v>45293</v>
      </c>
      <c r="N20" s="599">
        <v>45648</v>
      </c>
      <c r="O20" s="605">
        <f t="shared" si="0"/>
        <v>50.714285714285715</v>
      </c>
      <c r="P20" s="582"/>
      <c r="Q20" s="582"/>
      <c r="R20" s="583">
        <f t="shared" si="1"/>
        <v>-6521.1428571428569</v>
      </c>
      <c r="S20" s="584" t="str">
        <f t="shared" ca="1" si="2"/>
        <v>En tiempo</v>
      </c>
      <c r="T20" s="585"/>
      <c r="U20" s="586">
        <f t="shared" si="3"/>
        <v>0</v>
      </c>
      <c r="V20" s="586" t="str">
        <f t="shared" si="4"/>
        <v>100%</v>
      </c>
      <c r="W20" s="587" t="str">
        <f t="shared" si="5"/>
        <v>Cumple</v>
      </c>
      <c r="X20" s="588"/>
      <c r="Y20" s="589" t="s">
        <v>1932</v>
      </c>
      <c r="Z20" s="586">
        <f t="shared" si="6"/>
        <v>0.5</v>
      </c>
      <c r="AA20" s="590"/>
      <c r="AB20" s="590"/>
      <c r="AC20" s="591">
        <f t="shared" si="7"/>
        <v>0.5</v>
      </c>
      <c r="AD20" s="592"/>
    </row>
    <row r="21" spans="1:30" ht="89.25" customHeight="1">
      <c r="A21" s="597" t="s">
        <v>341</v>
      </c>
      <c r="B21" s="597" t="s">
        <v>583</v>
      </c>
      <c r="C21" s="600" t="s">
        <v>1933</v>
      </c>
      <c r="D21" s="791"/>
      <c r="E21" s="791"/>
      <c r="F21" s="604" t="s">
        <v>1934</v>
      </c>
      <c r="G21" s="604" t="s">
        <v>1935</v>
      </c>
      <c r="H21" s="601">
        <v>1</v>
      </c>
      <c r="I21" s="602" t="s">
        <v>1864</v>
      </c>
      <c r="J21" s="600" t="s">
        <v>59</v>
      </c>
      <c r="K21" s="600" t="s">
        <v>778</v>
      </c>
      <c r="L21" s="642" t="s">
        <v>1935</v>
      </c>
      <c r="M21" s="603">
        <v>45293</v>
      </c>
      <c r="N21" s="599">
        <v>45648</v>
      </c>
      <c r="O21" s="605">
        <f t="shared" si="0"/>
        <v>50.714285714285715</v>
      </c>
      <c r="P21" s="582"/>
      <c r="Q21" s="582"/>
      <c r="R21" s="583">
        <f t="shared" si="1"/>
        <v>-6521.1428571428569</v>
      </c>
      <c r="S21" s="584" t="str">
        <f t="shared" ca="1" si="2"/>
        <v>En tiempo</v>
      </c>
      <c r="T21" s="585"/>
      <c r="U21" s="586">
        <f t="shared" si="3"/>
        <v>0</v>
      </c>
      <c r="V21" s="586" t="str">
        <f t="shared" si="4"/>
        <v>100%</v>
      </c>
      <c r="W21" s="587" t="str">
        <f t="shared" si="5"/>
        <v>Cumple</v>
      </c>
      <c r="X21" s="588"/>
      <c r="Y21" s="589"/>
      <c r="Z21" s="586">
        <f t="shared" si="6"/>
        <v>0.5</v>
      </c>
      <c r="AA21" s="590"/>
      <c r="AB21" s="590"/>
      <c r="AC21" s="591">
        <f t="shared" si="7"/>
        <v>0.5</v>
      </c>
      <c r="AD21" s="592"/>
    </row>
    <row r="22" spans="1:30" ht="117">
      <c r="A22" s="597" t="s">
        <v>341</v>
      </c>
      <c r="B22" s="597" t="s">
        <v>583</v>
      </c>
      <c r="C22" s="600" t="s">
        <v>1936</v>
      </c>
      <c r="D22" s="604" t="s">
        <v>1937</v>
      </c>
      <c r="E22" s="604" t="s">
        <v>1938</v>
      </c>
      <c r="F22" s="604" t="s">
        <v>1939</v>
      </c>
      <c r="G22" s="604" t="s">
        <v>1940</v>
      </c>
      <c r="H22" s="601">
        <v>1</v>
      </c>
      <c r="I22" s="602" t="s">
        <v>1864</v>
      </c>
      <c r="J22" s="600" t="s">
        <v>59</v>
      </c>
      <c r="K22" s="600" t="s">
        <v>778</v>
      </c>
      <c r="L22" s="604" t="s">
        <v>1941</v>
      </c>
      <c r="M22" s="603">
        <v>45293</v>
      </c>
      <c r="N22" s="599">
        <v>45648</v>
      </c>
      <c r="O22" s="605">
        <f t="shared" si="0"/>
        <v>50.714285714285715</v>
      </c>
      <c r="P22" s="582"/>
      <c r="Q22" s="582"/>
      <c r="R22" s="583">
        <f t="shared" si="1"/>
        <v>-6521.1428571428569</v>
      </c>
      <c r="S22" s="584" t="str">
        <f t="shared" ca="1" si="2"/>
        <v>En tiempo</v>
      </c>
      <c r="T22" s="585"/>
      <c r="U22" s="586">
        <f t="shared" si="3"/>
        <v>0</v>
      </c>
      <c r="V22" s="586" t="str">
        <f t="shared" si="4"/>
        <v>100%</v>
      </c>
      <c r="W22" s="587" t="str">
        <f t="shared" si="5"/>
        <v>Cumple</v>
      </c>
      <c r="X22" s="588"/>
      <c r="Y22" s="589"/>
      <c r="Z22" s="586">
        <f t="shared" si="6"/>
        <v>0.5</v>
      </c>
      <c r="AA22" s="590"/>
      <c r="AB22" s="590"/>
      <c r="AC22" s="591">
        <f t="shared" si="7"/>
        <v>0.5</v>
      </c>
      <c r="AD22" s="592"/>
    </row>
    <row r="23" spans="1:30" ht="75.75" customHeight="1">
      <c r="A23" s="597" t="s">
        <v>341</v>
      </c>
      <c r="B23" s="597" t="s">
        <v>583</v>
      </c>
      <c r="C23" s="600" t="s">
        <v>1942</v>
      </c>
      <c r="D23" s="604" t="s">
        <v>1943</v>
      </c>
      <c r="E23" s="643" t="s">
        <v>1944</v>
      </c>
      <c r="F23" s="604" t="s">
        <v>1945</v>
      </c>
      <c r="G23" s="604" t="s">
        <v>1946</v>
      </c>
      <c r="H23" s="601">
        <v>1</v>
      </c>
      <c r="I23" s="602" t="s">
        <v>1864</v>
      </c>
      <c r="J23" s="600" t="s">
        <v>59</v>
      </c>
      <c r="K23" s="600" t="s">
        <v>778</v>
      </c>
      <c r="L23" s="604" t="s">
        <v>1925</v>
      </c>
      <c r="M23" s="603">
        <v>45293</v>
      </c>
      <c r="N23" s="599">
        <v>45648</v>
      </c>
      <c r="O23" s="605">
        <f t="shared" si="0"/>
        <v>50.714285714285715</v>
      </c>
      <c r="P23" s="582"/>
      <c r="Q23" s="582"/>
      <c r="R23" s="583">
        <f t="shared" si="1"/>
        <v>-6521.1428571428569</v>
      </c>
      <c r="S23" s="584" t="str">
        <f t="shared" ca="1" si="2"/>
        <v>En tiempo</v>
      </c>
      <c r="T23" s="585"/>
      <c r="U23" s="586">
        <f t="shared" si="3"/>
        <v>0</v>
      </c>
      <c r="V23" s="586" t="str">
        <f t="shared" si="4"/>
        <v>100%</v>
      </c>
      <c r="W23" s="587" t="str">
        <f t="shared" si="5"/>
        <v>Cumple</v>
      </c>
      <c r="X23" s="588"/>
      <c r="Y23" s="589"/>
      <c r="Z23" s="586">
        <f t="shared" si="6"/>
        <v>0.5</v>
      </c>
      <c r="AA23" s="590"/>
      <c r="AB23" s="590"/>
      <c r="AC23" s="591">
        <f t="shared" si="7"/>
        <v>0.5</v>
      </c>
      <c r="AD23" s="592"/>
    </row>
    <row r="24" spans="1:30" ht="83.25">
      <c r="A24" s="597" t="s">
        <v>341</v>
      </c>
      <c r="B24" s="597" t="s">
        <v>583</v>
      </c>
      <c r="C24" s="600" t="s">
        <v>1947</v>
      </c>
      <c r="D24" s="604" t="s">
        <v>1948</v>
      </c>
      <c r="E24" s="604" t="s">
        <v>1949</v>
      </c>
      <c r="F24" s="604" t="s">
        <v>1950</v>
      </c>
      <c r="G24" s="604" t="s">
        <v>1951</v>
      </c>
      <c r="H24" s="601">
        <v>1</v>
      </c>
      <c r="I24" s="600" t="s">
        <v>1872</v>
      </c>
      <c r="J24" s="600" t="s">
        <v>59</v>
      </c>
      <c r="K24" s="600" t="s">
        <v>778</v>
      </c>
      <c r="L24" s="604" t="s">
        <v>1952</v>
      </c>
      <c r="M24" s="603">
        <v>45293</v>
      </c>
      <c r="N24" s="599">
        <v>45648</v>
      </c>
      <c r="O24" s="605">
        <f t="shared" si="0"/>
        <v>50.714285714285715</v>
      </c>
      <c r="P24" s="582"/>
      <c r="Q24" s="582"/>
      <c r="R24" s="583">
        <f t="shared" si="1"/>
        <v>-6521.1428571428569</v>
      </c>
      <c r="S24" s="584" t="str">
        <f t="shared" ca="1" si="2"/>
        <v>En tiempo</v>
      </c>
      <c r="T24" s="585"/>
      <c r="U24" s="586">
        <f t="shared" si="3"/>
        <v>0</v>
      </c>
      <c r="V24" s="586" t="str">
        <f t="shared" si="4"/>
        <v>100%</v>
      </c>
      <c r="W24" s="587" t="str">
        <f t="shared" si="5"/>
        <v>Cumple</v>
      </c>
      <c r="X24" s="588"/>
      <c r="Y24" s="589"/>
      <c r="Z24" s="586">
        <f t="shared" si="6"/>
        <v>0.5</v>
      </c>
      <c r="AA24" s="590"/>
      <c r="AB24" s="590"/>
      <c r="AC24" s="591">
        <f t="shared" si="7"/>
        <v>0.5</v>
      </c>
      <c r="AD24" s="592"/>
    </row>
    <row r="25" spans="1:30" ht="57.75">
      <c r="A25" s="597" t="s">
        <v>341</v>
      </c>
      <c r="B25" s="597" t="s">
        <v>583</v>
      </c>
      <c r="C25" s="600" t="s">
        <v>1953</v>
      </c>
      <c r="D25" s="604" t="s">
        <v>1954</v>
      </c>
      <c r="E25" s="660" t="s">
        <v>1955</v>
      </c>
      <c r="F25" s="604" t="s">
        <v>1956</v>
      </c>
      <c r="G25" s="604" t="s">
        <v>747</v>
      </c>
      <c r="H25" s="601">
        <v>1</v>
      </c>
      <c r="I25" s="602" t="s">
        <v>1864</v>
      </c>
      <c r="J25" s="600" t="s">
        <v>59</v>
      </c>
      <c r="K25" s="600" t="s">
        <v>778</v>
      </c>
      <c r="L25" s="604" t="s">
        <v>818</v>
      </c>
      <c r="M25" s="603">
        <v>45293</v>
      </c>
      <c r="N25" s="599">
        <v>45648</v>
      </c>
      <c r="O25" s="605">
        <f t="shared" si="0"/>
        <v>50.714285714285715</v>
      </c>
      <c r="P25" s="582"/>
      <c r="Q25" s="582"/>
      <c r="R25" s="583">
        <f t="shared" si="1"/>
        <v>-6521.1428571428569</v>
      </c>
      <c r="S25" s="584" t="str">
        <f t="shared" ca="1" si="2"/>
        <v>En tiempo</v>
      </c>
      <c r="T25" s="585"/>
      <c r="U25" s="586">
        <f t="shared" si="3"/>
        <v>0</v>
      </c>
      <c r="V25" s="586" t="str">
        <f t="shared" si="4"/>
        <v>100%</v>
      </c>
      <c r="W25" s="587" t="str">
        <f t="shared" si="5"/>
        <v>Cumple</v>
      </c>
      <c r="X25" s="588"/>
      <c r="Y25" s="589"/>
      <c r="Z25" s="586">
        <f t="shared" si="6"/>
        <v>0.5</v>
      </c>
      <c r="AA25" s="590"/>
      <c r="AB25" s="590"/>
      <c r="AC25" s="591">
        <f t="shared" si="7"/>
        <v>0.5</v>
      </c>
      <c r="AD25" s="592"/>
    </row>
    <row r="26" spans="1:30" ht="66.75">
      <c r="A26" s="597" t="s">
        <v>341</v>
      </c>
      <c r="B26" s="597" t="s">
        <v>583</v>
      </c>
      <c r="C26" s="600" t="s">
        <v>1957</v>
      </c>
      <c r="D26" s="604" t="s">
        <v>1958</v>
      </c>
      <c r="E26" s="660" t="s">
        <v>1959</v>
      </c>
      <c r="F26" s="604" t="s">
        <v>1960</v>
      </c>
      <c r="G26" s="604" t="s">
        <v>1961</v>
      </c>
      <c r="H26" s="601">
        <v>1</v>
      </c>
      <c r="I26" s="600" t="s">
        <v>1872</v>
      </c>
      <c r="J26" s="600" t="s">
        <v>59</v>
      </c>
      <c r="K26" s="600" t="s">
        <v>778</v>
      </c>
      <c r="L26" s="604" t="s">
        <v>818</v>
      </c>
      <c r="M26" s="603">
        <v>45293</v>
      </c>
      <c r="N26" s="599">
        <v>45648</v>
      </c>
      <c r="O26" s="605">
        <f t="shared" si="0"/>
        <v>50.714285714285715</v>
      </c>
      <c r="P26" s="582"/>
      <c r="Q26" s="582"/>
      <c r="R26" s="583">
        <f t="shared" si="1"/>
        <v>-6521.1428571428569</v>
      </c>
      <c r="S26" s="584" t="str">
        <f t="shared" ca="1" si="2"/>
        <v>En tiempo</v>
      </c>
      <c r="T26" s="585"/>
      <c r="U26" s="586">
        <f t="shared" si="3"/>
        <v>0</v>
      </c>
      <c r="V26" s="586" t="str">
        <f t="shared" si="4"/>
        <v>100%</v>
      </c>
      <c r="W26" s="587" t="str">
        <f t="shared" si="5"/>
        <v>Cumple</v>
      </c>
      <c r="X26" s="588"/>
      <c r="Y26" s="589"/>
      <c r="Z26" s="586">
        <f t="shared" si="6"/>
        <v>0.5</v>
      </c>
      <c r="AA26" s="590"/>
      <c r="AB26" s="590"/>
      <c r="AC26" s="591">
        <f t="shared" si="7"/>
        <v>0.5</v>
      </c>
      <c r="AD26" s="592"/>
    </row>
    <row r="27" spans="1:30" ht="201">
      <c r="A27" s="597" t="s">
        <v>341</v>
      </c>
      <c r="B27" s="597" t="s">
        <v>583</v>
      </c>
      <c r="C27" s="600" t="s">
        <v>1962</v>
      </c>
      <c r="D27" s="604" t="s">
        <v>1958</v>
      </c>
      <c r="E27" s="660" t="s">
        <v>1963</v>
      </c>
      <c r="F27" s="604" t="s">
        <v>1956</v>
      </c>
      <c r="G27" s="604" t="s">
        <v>747</v>
      </c>
      <c r="H27" s="601">
        <v>1</v>
      </c>
      <c r="I27" s="600" t="s">
        <v>1872</v>
      </c>
      <c r="J27" s="600" t="s">
        <v>59</v>
      </c>
      <c r="K27" s="600" t="s">
        <v>778</v>
      </c>
      <c r="L27" s="604" t="s">
        <v>818</v>
      </c>
      <c r="M27" s="603">
        <v>45293</v>
      </c>
      <c r="N27" s="599">
        <v>45648</v>
      </c>
      <c r="O27" s="605">
        <f t="shared" si="0"/>
        <v>50.714285714285715</v>
      </c>
      <c r="P27" s="582"/>
      <c r="Q27" s="582"/>
      <c r="R27" s="583">
        <f t="shared" si="1"/>
        <v>-6521.1428571428569</v>
      </c>
      <c r="S27" s="584" t="str">
        <f t="shared" ca="1" si="2"/>
        <v>En tiempo</v>
      </c>
      <c r="T27" s="585"/>
      <c r="U27" s="586">
        <f t="shared" si="3"/>
        <v>0</v>
      </c>
      <c r="V27" s="586" t="str">
        <f t="shared" si="4"/>
        <v>100%</v>
      </c>
      <c r="W27" s="587" t="str">
        <f t="shared" si="5"/>
        <v>Cumple</v>
      </c>
      <c r="X27" s="588"/>
      <c r="Y27" s="589" t="s">
        <v>1964</v>
      </c>
      <c r="Z27" s="586">
        <f t="shared" si="6"/>
        <v>0.5</v>
      </c>
      <c r="AA27" s="590"/>
      <c r="AB27" s="590"/>
      <c r="AC27" s="591">
        <f t="shared" si="7"/>
        <v>0.5</v>
      </c>
      <c r="AD27" s="592"/>
    </row>
    <row r="28" spans="1:30" ht="15">
      <c r="G28" s="65" t="s">
        <v>153</v>
      </c>
      <c r="H28" s="68">
        <f>SUM(H7:H27)</f>
        <v>21</v>
      </c>
      <c r="R28" s="787" t="s">
        <v>154</v>
      </c>
      <c r="S28" s="787"/>
      <c r="T28" s="594">
        <f>SUM(T7:T27)</f>
        <v>0</v>
      </c>
      <c r="U28" s="595">
        <f>AVERAGE(U7:U27)</f>
        <v>0</v>
      </c>
      <c r="V28" s="323"/>
      <c r="W28" s="596">
        <f>(COUNTIF(W7:W27,"Cumple")*100%)/COUNTA(W7:W27)</f>
        <v>1</v>
      </c>
      <c r="AA28" s="787" t="s">
        <v>154</v>
      </c>
      <c r="AB28" s="787"/>
      <c r="AC28" s="596">
        <f>AVERAGE(AC7:AC27)</f>
        <v>0.5</v>
      </c>
    </row>
  </sheetData>
  <mergeCells count="44">
    <mergeCell ref="A8:A9"/>
    <mergeCell ref="D17:D18"/>
    <mergeCell ref="E17:E18"/>
    <mergeCell ref="D20:D21"/>
    <mergeCell ref="E20:E21"/>
    <mergeCell ref="B8:B9"/>
    <mergeCell ref="C10:C13"/>
    <mergeCell ref="D10:D13"/>
    <mergeCell ref="E10:E13"/>
    <mergeCell ref="R28:S28"/>
    <mergeCell ref="AA28:AB28"/>
    <mergeCell ref="C8:C9"/>
    <mergeCell ref="D8:D9"/>
    <mergeCell ref="E8:E9"/>
    <mergeCell ref="C15:C16"/>
    <mergeCell ref="D15:D16"/>
    <mergeCell ref="E15:E16"/>
    <mergeCell ref="C17:C18"/>
    <mergeCell ref="Z5:AD5"/>
    <mergeCell ref="C3:F3"/>
    <mergeCell ref="G3:H3"/>
    <mergeCell ref="I3:N3"/>
    <mergeCell ref="O3:P3"/>
    <mergeCell ref="Q3:V3"/>
    <mergeCell ref="C4:F4"/>
    <mergeCell ref="G4:H4"/>
    <mergeCell ref="I4:N4"/>
    <mergeCell ref="O4:P4"/>
    <mergeCell ref="Q4:S4"/>
    <mergeCell ref="T4:U4"/>
    <mergeCell ref="V4:Y4"/>
    <mergeCell ref="A5:N5"/>
    <mergeCell ref="O5:Y5"/>
    <mergeCell ref="A4:B4"/>
    <mergeCell ref="A1:B1"/>
    <mergeCell ref="C1:N1"/>
    <mergeCell ref="O1:P2"/>
    <mergeCell ref="Q1:Y2"/>
    <mergeCell ref="Z1:AD4"/>
    <mergeCell ref="A2:B2"/>
    <mergeCell ref="C2:F2"/>
    <mergeCell ref="G2:H2"/>
    <mergeCell ref="I2:N2"/>
    <mergeCell ref="A3:B3"/>
  </mergeCells>
  <conditionalFormatting sqref="R7:R27">
    <cfRule type="cellIs" dxfId="111" priority="32" operator="greaterThan">
      <formula>0</formula>
    </cfRule>
    <cfRule type="cellIs" dxfId="110" priority="33" operator="lessThan">
      <formula>0</formula>
    </cfRule>
  </conditionalFormatting>
  <conditionalFormatting sqref="S7:S27">
    <cfRule type="containsText" dxfId="109" priority="14" operator="containsText" text="Alerta">
      <formula>NOT(ISERROR(SEARCH("Alerta",S7)))</formula>
    </cfRule>
    <cfRule type="containsText" dxfId="108" priority="15" operator="containsText" text="En tiempo">
      <formula>NOT(ISERROR(SEARCH("En tiempo",S7)))</formula>
    </cfRule>
  </conditionalFormatting>
  <conditionalFormatting sqref="U28 U7:V27 Z7:Z27">
    <cfRule type="cellIs" dxfId="107" priority="1" operator="between">
      <formula>0.29</formula>
      <formula>0</formula>
    </cfRule>
    <cfRule type="cellIs" dxfId="106" priority="2" operator="between">
      <formula>0.49</formula>
      <formula>0.3</formula>
    </cfRule>
    <cfRule type="cellIs" dxfId="105" priority="3" operator="between">
      <formula>0.79</formula>
      <formula>0.5</formula>
    </cfRule>
    <cfRule type="cellIs" dxfId="104" priority="4" operator="between">
      <formula>1</formula>
      <formula>0.8</formula>
    </cfRule>
  </conditionalFormatting>
  <conditionalFormatting sqref="W7:W27">
    <cfRule type="containsText" dxfId="103" priority="12" operator="containsText" text="Incumple">
      <formula>NOT(ISERROR(SEARCH("Incumple",W7)))</formula>
    </cfRule>
    <cfRule type="containsText" dxfId="102" priority="13" operator="containsText" text="Cumple">
      <formula>NOT(ISERROR(SEARCH("Cumple",W7)))</formula>
    </cfRule>
  </conditionalFormatting>
  <conditionalFormatting sqref="W28">
    <cfRule type="cellIs" dxfId="101" priority="24" operator="between">
      <formula>0.19</formula>
      <formula>0</formula>
    </cfRule>
    <cfRule type="cellIs" dxfId="100" priority="25" operator="between">
      <formula>0.49</formula>
      <formula>0.2</formula>
    </cfRule>
    <cfRule type="cellIs" dxfId="99" priority="26" operator="between">
      <formula>0.89</formula>
      <formula>0.5</formula>
    </cfRule>
    <cfRule type="cellIs" dxfId="98" priority="27" operator="between">
      <formula>1</formula>
      <formula>0.9</formula>
    </cfRule>
  </conditionalFormatting>
  <conditionalFormatting sqref="AC7:AC28">
    <cfRule type="cellIs" dxfId="97" priority="5" operator="between">
      <formula>0.3</formula>
      <formula>0</formula>
    </cfRule>
    <cfRule type="cellIs" dxfId="96" priority="6" operator="between">
      <formula>0.6999</formula>
      <formula>0.3111</formula>
    </cfRule>
    <cfRule type="cellIs" dxfId="95" priority="7" operator="between">
      <formula>1</formula>
      <formula>0.7</formula>
    </cfRule>
  </conditionalFormatting>
  <dataValidations count="3">
    <dataValidation type="list" allowBlank="1" showInputMessage="1" showErrorMessage="1" sqref="A7:A8 A10:A27" xr:uid="{C1E12B8C-10E7-441B-AB88-FFDDFF1DC3CC}">
      <formula1>$AP$4:$AP$23</formula1>
    </dataValidation>
    <dataValidation type="list" allowBlank="1" showInputMessage="1" showErrorMessage="1" sqref="B7:B8 B10:B27" xr:uid="{54E92E3A-D552-4CD3-B566-529C78EE1E32}">
      <formula1>$AV$5:$AV$7</formula1>
    </dataValidation>
    <dataValidation type="list" allowBlank="1" showInputMessage="1" showErrorMessage="1" errorTitle="Estado" error="No es un estado de los Planes de Mejoramiento" sqref="Q4:S4" xr:uid="{8BCB6494-54DF-4D56-99A7-3EF9DFD48766}">
      <formula1>$AW$4:$AW$7</formula1>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AB31"/>
  <sheetViews>
    <sheetView topLeftCell="N27" zoomScale="25" zoomScaleNormal="25" workbookViewId="0">
      <selection activeCell="V28" sqref="V28"/>
    </sheetView>
  </sheetViews>
  <sheetFormatPr defaultColWidth="10.7109375" defaultRowHeight="14.25"/>
  <cols>
    <col min="1" max="1" width="11" style="95" bestFit="1" customWidth="1"/>
    <col min="2" max="3" width="10.7109375" style="95" bestFit="1" customWidth="1"/>
    <col min="4" max="4" width="83.42578125" style="95" customWidth="1"/>
    <col min="5" max="5" width="60.42578125" style="95" customWidth="1"/>
    <col min="6" max="6" width="19.140625" style="95" customWidth="1"/>
    <col min="7" max="7" width="20" style="95" customWidth="1"/>
    <col min="8" max="9" width="10.7109375" style="95" customWidth="1"/>
    <col min="10" max="10" width="20.28515625" style="100" customWidth="1"/>
    <col min="11" max="11" width="24" style="100" customWidth="1"/>
    <col min="12" max="12" width="11" style="95" customWidth="1"/>
    <col min="13" max="13" width="10.7109375" style="100" customWidth="1"/>
    <col min="14" max="20" width="10.7109375" style="95" customWidth="1"/>
    <col min="21" max="21" width="16" style="95" customWidth="1"/>
    <col min="22" max="22" width="74.85546875" style="95" customWidth="1"/>
    <col min="23" max="23" width="110.85546875" style="95" customWidth="1"/>
    <col min="24" max="24" width="13.140625" style="95" customWidth="1"/>
    <col min="25" max="26" width="10.7109375" style="95" customWidth="1"/>
    <col min="27" max="27" width="12.28515625" style="95" customWidth="1"/>
    <col min="28" max="28" width="12.5703125" style="95" bestFit="1" customWidth="1"/>
    <col min="29" max="16384" width="10.7109375" style="95"/>
  </cols>
  <sheetData>
    <row r="1" spans="1:28" ht="12.75" customHeight="1" thickBot="1">
      <c r="A1" s="798" t="s">
        <v>1965</v>
      </c>
      <c r="B1" s="798"/>
      <c r="C1" s="798"/>
      <c r="D1" s="798"/>
      <c r="E1" s="798"/>
      <c r="F1" s="798"/>
      <c r="G1" s="798"/>
      <c r="H1" s="798"/>
      <c r="I1" s="798"/>
      <c r="J1" s="798"/>
      <c r="K1" s="798"/>
      <c r="L1" s="798"/>
      <c r="M1" s="798"/>
      <c r="N1" s="798"/>
      <c r="O1" s="798"/>
      <c r="P1" s="798"/>
      <c r="Q1" s="798"/>
      <c r="R1" s="798"/>
      <c r="S1" s="798"/>
      <c r="T1" s="798"/>
      <c r="U1" s="798"/>
      <c r="V1" s="798"/>
      <c r="W1" s="798"/>
      <c r="X1" s="798"/>
      <c r="Y1" s="798"/>
      <c r="Z1" s="235"/>
    </row>
    <row r="2" spans="1:28" ht="12" customHeight="1" thickBot="1">
      <c r="A2" s="798"/>
      <c r="B2" s="798"/>
      <c r="C2" s="798"/>
      <c r="D2" s="798"/>
      <c r="E2" s="798"/>
      <c r="F2" s="798"/>
      <c r="G2" s="798"/>
      <c r="H2" s="798"/>
      <c r="I2" s="798"/>
      <c r="J2" s="798"/>
      <c r="K2" s="798"/>
      <c r="L2" s="798"/>
      <c r="M2" s="798"/>
      <c r="N2" s="798"/>
      <c r="O2" s="798"/>
      <c r="P2" s="798"/>
      <c r="Q2" s="798"/>
      <c r="R2" s="798"/>
      <c r="S2" s="798"/>
      <c r="T2" s="798"/>
      <c r="U2" s="798"/>
      <c r="V2" s="798"/>
      <c r="W2" s="798"/>
      <c r="X2" s="798"/>
      <c r="Y2" s="798"/>
      <c r="Z2" s="235"/>
    </row>
    <row r="3" spans="1:28" s="99" customFormat="1" ht="128.44999999999999" customHeight="1" thickBot="1">
      <c r="A3" s="204"/>
      <c r="B3" s="205" t="s">
        <v>1966</v>
      </c>
      <c r="C3" s="205"/>
      <c r="D3" s="205" t="s">
        <v>1967</v>
      </c>
      <c r="E3" s="205" t="s">
        <v>1968</v>
      </c>
      <c r="F3" s="205" t="s">
        <v>1969</v>
      </c>
      <c r="G3" s="205" t="s">
        <v>26</v>
      </c>
      <c r="H3" s="205" t="s">
        <v>1970</v>
      </c>
      <c r="I3" s="205" t="s">
        <v>1971</v>
      </c>
      <c r="J3" s="206" t="s">
        <v>33</v>
      </c>
      <c r="K3" s="206" t="s">
        <v>34</v>
      </c>
      <c r="L3" s="205" t="s">
        <v>35</v>
      </c>
      <c r="M3" s="206" t="s">
        <v>36</v>
      </c>
      <c r="N3" s="205" t="s">
        <v>1972</v>
      </c>
      <c r="O3" s="205" t="s">
        <v>1973</v>
      </c>
      <c r="P3" s="205" t="s">
        <v>40</v>
      </c>
      <c r="Q3" s="205" t="s">
        <v>41</v>
      </c>
      <c r="R3" s="205" t="s">
        <v>1974</v>
      </c>
      <c r="S3" s="187" t="s">
        <v>1975</v>
      </c>
      <c r="T3" s="187" t="s">
        <v>1976</v>
      </c>
      <c r="U3" s="187" t="s">
        <v>43</v>
      </c>
      <c r="V3" s="187" t="s">
        <v>1977</v>
      </c>
      <c r="W3" s="187" t="s">
        <v>1978</v>
      </c>
      <c r="X3" s="187" t="s">
        <v>20</v>
      </c>
      <c r="Y3" s="187" t="s">
        <v>1979</v>
      </c>
      <c r="Z3" s="98"/>
    </row>
    <row r="4" spans="1:28" s="104" customFormat="1" ht="210" customHeight="1">
      <c r="A4" s="236">
        <v>1</v>
      </c>
      <c r="B4" s="222" t="s">
        <v>1980</v>
      </c>
      <c r="C4" s="222" t="s">
        <v>1981</v>
      </c>
      <c r="D4" s="223" t="s">
        <v>1982</v>
      </c>
      <c r="E4" s="223" t="s">
        <v>1983</v>
      </c>
      <c r="F4" s="223" t="s">
        <v>1984</v>
      </c>
      <c r="G4" s="223" t="s">
        <v>1985</v>
      </c>
      <c r="H4" s="223" t="s">
        <v>1986</v>
      </c>
      <c r="I4" s="223">
        <v>1</v>
      </c>
      <c r="J4" s="192">
        <v>44015</v>
      </c>
      <c r="K4" s="192">
        <v>44195</v>
      </c>
      <c r="L4" s="227">
        <f t="shared" ref="L4:L25" si="0">(K4-J4)/7</f>
        <v>25.714285714285715</v>
      </c>
      <c r="M4" s="237">
        <v>45107</v>
      </c>
      <c r="N4" s="227">
        <f t="shared" ref="N4:N28" si="1">(M4-K4)/7</f>
        <v>130.28571428571428</v>
      </c>
      <c r="O4" s="238" t="str">
        <f t="shared" ref="O4:O28" ca="1" si="2">IF((K4-TODAY())/7&gt;=L4/4,"En tiempo","Alerta")</f>
        <v>Alerta</v>
      </c>
      <c r="P4" s="230">
        <v>0.6</v>
      </c>
      <c r="Q4" s="239">
        <f t="shared" ref="Q4:Q29" si="3">IF(P4/I4=1,1,+P4/I4)</f>
        <v>0.6</v>
      </c>
      <c r="R4" s="222"/>
      <c r="S4" s="222"/>
      <c r="T4" s="222"/>
      <c r="U4" s="240" t="str">
        <f t="shared" ref="U4:U29" si="4">IF(M4&lt;=K4,"Cumple","Incumple")</f>
        <v>Incumple</v>
      </c>
      <c r="V4" s="635" t="s">
        <v>1987</v>
      </c>
      <c r="W4" s="646" t="s">
        <v>1988</v>
      </c>
      <c r="X4" s="222"/>
      <c r="Y4" s="223" t="s">
        <v>1989</v>
      </c>
      <c r="Z4" s="103"/>
    </row>
    <row r="5" spans="1:28" s="104" customFormat="1" ht="209.45" customHeight="1">
      <c r="A5" s="236">
        <v>2</v>
      </c>
      <c r="B5" s="222" t="s">
        <v>1980</v>
      </c>
      <c r="C5" s="222" t="s">
        <v>1981</v>
      </c>
      <c r="D5" s="223" t="s">
        <v>1990</v>
      </c>
      <c r="E5" s="223" t="s">
        <v>1991</v>
      </c>
      <c r="F5" s="223" t="s">
        <v>1992</v>
      </c>
      <c r="G5" s="223" t="s">
        <v>1993</v>
      </c>
      <c r="H5" s="223" t="s">
        <v>1994</v>
      </c>
      <c r="I5" s="223">
        <v>2</v>
      </c>
      <c r="J5" s="192">
        <v>44015</v>
      </c>
      <c r="K5" s="192">
        <v>44195</v>
      </c>
      <c r="L5" s="227">
        <f t="shared" si="0"/>
        <v>25.714285714285715</v>
      </c>
      <c r="M5" s="192">
        <v>44165</v>
      </c>
      <c r="N5" s="227">
        <f t="shared" si="1"/>
        <v>-4.2857142857142856</v>
      </c>
      <c r="O5" s="238" t="str">
        <f t="shared" ca="1" si="2"/>
        <v>Alerta</v>
      </c>
      <c r="P5" s="230">
        <v>2</v>
      </c>
      <c r="Q5" s="239">
        <f t="shared" si="3"/>
        <v>1</v>
      </c>
      <c r="R5" s="222"/>
      <c r="S5" s="222"/>
      <c r="T5" s="222"/>
      <c r="U5" s="240" t="str">
        <f t="shared" si="4"/>
        <v>Cumple</v>
      </c>
      <c r="V5" s="631" t="s">
        <v>1995</v>
      </c>
      <c r="W5" s="647"/>
      <c r="X5" s="222"/>
      <c r="Y5" s="230" t="s">
        <v>1996</v>
      </c>
      <c r="Z5" s="103"/>
    </row>
    <row r="6" spans="1:28" s="104" customFormat="1" ht="201.75">
      <c r="A6" s="236">
        <v>3</v>
      </c>
      <c r="B6" s="222" t="s">
        <v>1980</v>
      </c>
      <c r="C6" s="222" t="s">
        <v>1981</v>
      </c>
      <c r="D6" s="223" t="s">
        <v>1997</v>
      </c>
      <c r="E6" s="223" t="s">
        <v>1998</v>
      </c>
      <c r="F6" s="223" t="s">
        <v>1999</v>
      </c>
      <c r="G6" s="223" t="s">
        <v>2000</v>
      </c>
      <c r="H6" s="223" t="s">
        <v>2001</v>
      </c>
      <c r="I6" s="223">
        <v>1</v>
      </c>
      <c r="J6" s="192">
        <v>44015</v>
      </c>
      <c r="K6" s="192">
        <v>44196</v>
      </c>
      <c r="L6" s="227">
        <f t="shared" si="0"/>
        <v>25.857142857142858</v>
      </c>
      <c r="M6" s="192">
        <v>44165</v>
      </c>
      <c r="N6" s="227">
        <f t="shared" si="1"/>
        <v>-4.4285714285714288</v>
      </c>
      <c r="O6" s="238" t="str">
        <f t="shared" ca="1" si="2"/>
        <v>Alerta</v>
      </c>
      <c r="P6" s="230">
        <v>1</v>
      </c>
      <c r="Q6" s="239">
        <f t="shared" si="3"/>
        <v>1</v>
      </c>
      <c r="R6" s="222"/>
      <c r="S6" s="222"/>
      <c r="T6" s="222"/>
      <c r="U6" s="240" t="str">
        <f t="shared" si="4"/>
        <v>Cumple</v>
      </c>
      <c r="V6" s="631" t="s">
        <v>2002</v>
      </c>
      <c r="W6" s="647"/>
      <c r="X6" s="222"/>
      <c r="Y6" s="230" t="s">
        <v>1996</v>
      </c>
      <c r="Z6" s="103"/>
    </row>
    <row r="7" spans="1:28" s="104" customFormat="1" ht="173.25">
      <c r="A7" s="236">
        <v>3</v>
      </c>
      <c r="B7" s="222" t="s">
        <v>1980</v>
      </c>
      <c r="C7" s="222" t="s">
        <v>1981</v>
      </c>
      <c r="D7" s="223" t="s">
        <v>2003</v>
      </c>
      <c r="E7" s="223" t="s">
        <v>2004</v>
      </c>
      <c r="F7" s="223" t="s">
        <v>2005</v>
      </c>
      <c r="G7" s="223" t="s">
        <v>2006</v>
      </c>
      <c r="H7" s="223" t="s">
        <v>2007</v>
      </c>
      <c r="I7" s="223">
        <v>1</v>
      </c>
      <c r="J7" s="192">
        <v>44015</v>
      </c>
      <c r="K7" s="192">
        <v>44196</v>
      </c>
      <c r="L7" s="227">
        <f t="shared" si="0"/>
        <v>25.857142857142858</v>
      </c>
      <c r="M7" s="192">
        <v>44165</v>
      </c>
      <c r="N7" s="227">
        <f t="shared" si="1"/>
        <v>-4.4285714285714288</v>
      </c>
      <c r="O7" s="238" t="str">
        <f t="shared" ca="1" si="2"/>
        <v>Alerta</v>
      </c>
      <c r="P7" s="230">
        <v>1</v>
      </c>
      <c r="Q7" s="239">
        <f t="shared" si="3"/>
        <v>1</v>
      </c>
      <c r="R7" s="222"/>
      <c r="S7" s="222"/>
      <c r="T7" s="222"/>
      <c r="U7" s="240" t="str">
        <f t="shared" si="4"/>
        <v>Cumple</v>
      </c>
      <c r="V7" s="631" t="s">
        <v>2008</v>
      </c>
      <c r="W7" s="647"/>
      <c r="X7" s="222"/>
      <c r="Y7" s="230" t="s">
        <v>1996</v>
      </c>
      <c r="Z7" s="103"/>
    </row>
    <row r="8" spans="1:28" s="104" customFormat="1" ht="190.5" customHeight="1">
      <c r="A8" s="236">
        <v>5</v>
      </c>
      <c r="B8" s="222" t="s">
        <v>1980</v>
      </c>
      <c r="C8" s="222" t="s">
        <v>1981</v>
      </c>
      <c r="D8" s="223" t="s">
        <v>2009</v>
      </c>
      <c r="E8" s="223" t="s">
        <v>2010</v>
      </c>
      <c r="F8" s="223" t="s">
        <v>2011</v>
      </c>
      <c r="G8" s="223" t="s">
        <v>2012</v>
      </c>
      <c r="H8" s="223" t="s">
        <v>2013</v>
      </c>
      <c r="I8" s="223">
        <v>1</v>
      </c>
      <c r="J8" s="192">
        <v>44015</v>
      </c>
      <c r="K8" s="192">
        <v>44107</v>
      </c>
      <c r="L8" s="227">
        <f t="shared" si="0"/>
        <v>13.142857142857142</v>
      </c>
      <c r="M8" s="192">
        <v>44165</v>
      </c>
      <c r="N8" s="227">
        <f t="shared" si="1"/>
        <v>8.2857142857142865</v>
      </c>
      <c r="O8" s="238" t="str">
        <f t="shared" ca="1" si="2"/>
        <v>Alerta</v>
      </c>
      <c r="P8" s="230">
        <v>1</v>
      </c>
      <c r="Q8" s="239">
        <f t="shared" si="3"/>
        <v>1</v>
      </c>
      <c r="R8" s="222"/>
      <c r="S8" s="222"/>
      <c r="T8" s="222"/>
      <c r="U8" s="240" t="str">
        <f t="shared" si="4"/>
        <v>Incumple</v>
      </c>
      <c r="V8" s="631" t="s">
        <v>2014</v>
      </c>
      <c r="W8" s="647"/>
      <c r="X8" s="222"/>
      <c r="Y8" s="230" t="s">
        <v>2015</v>
      </c>
      <c r="Z8" s="103"/>
    </row>
    <row r="9" spans="1:28" s="104" customFormat="1" ht="163.5" customHeight="1">
      <c r="A9" s="236">
        <v>6</v>
      </c>
      <c r="B9" s="222" t="s">
        <v>1980</v>
      </c>
      <c r="C9" s="222" t="s">
        <v>1981</v>
      </c>
      <c r="D9" s="223" t="s">
        <v>2016</v>
      </c>
      <c r="E9" s="223" t="s">
        <v>2017</v>
      </c>
      <c r="F9" s="223" t="s">
        <v>2018</v>
      </c>
      <c r="G9" s="223" t="s">
        <v>2019</v>
      </c>
      <c r="H9" s="223" t="s">
        <v>2020</v>
      </c>
      <c r="I9" s="223">
        <v>4</v>
      </c>
      <c r="J9" s="192">
        <v>44015</v>
      </c>
      <c r="K9" s="192">
        <v>44134</v>
      </c>
      <c r="L9" s="227">
        <f t="shared" si="0"/>
        <v>17</v>
      </c>
      <c r="M9" s="192">
        <v>44165</v>
      </c>
      <c r="N9" s="227">
        <f t="shared" si="1"/>
        <v>4.4285714285714288</v>
      </c>
      <c r="O9" s="238" t="str">
        <f t="shared" ca="1" si="2"/>
        <v>Alerta</v>
      </c>
      <c r="P9" s="230">
        <v>4</v>
      </c>
      <c r="Q9" s="239">
        <f t="shared" si="3"/>
        <v>1</v>
      </c>
      <c r="R9" s="222"/>
      <c r="S9" s="222"/>
      <c r="T9" s="222"/>
      <c r="U9" s="240" t="str">
        <f t="shared" si="4"/>
        <v>Incumple</v>
      </c>
      <c r="V9" s="631" t="s">
        <v>2021</v>
      </c>
      <c r="W9" s="647"/>
      <c r="X9" s="222"/>
      <c r="Y9" s="230" t="s">
        <v>2022</v>
      </c>
      <c r="Z9" s="103"/>
    </row>
    <row r="10" spans="1:28" s="104" customFormat="1" ht="267.75" customHeight="1">
      <c r="A10" s="236">
        <v>7</v>
      </c>
      <c r="B10" s="222" t="s">
        <v>1980</v>
      </c>
      <c r="C10" s="222" t="s">
        <v>1981</v>
      </c>
      <c r="D10" s="223" t="s">
        <v>2023</v>
      </c>
      <c r="E10" s="223" t="s">
        <v>2024</v>
      </c>
      <c r="F10" s="223" t="s">
        <v>2025</v>
      </c>
      <c r="G10" s="223" t="s">
        <v>2026</v>
      </c>
      <c r="H10" s="223" t="s">
        <v>2027</v>
      </c>
      <c r="I10" s="223">
        <v>1</v>
      </c>
      <c r="J10" s="192">
        <v>44015</v>
      </c>
      <c r="K10" s="192">
        <v>44316</v>
      </c>
      <c r="L10" s="227">
        <f t="shared" si="0"/>
        <v>43</v>
      </c>
      <c r="M10" s="237">
        <v>45107</v>
      </c>
      <c r="N10" s="227">
        <f t="shared" si="1"/>
        <v>113</v>
      </c>
      <c r="O10" s="238" t="str">
        <f t="shared" ca="1" si="2"/>
        <v>Alerta</v>
      </c>
      <c r="P10" s="230">
        <v>1</v>
      </c>
      <c r="Q10" s="239">
        <f t="shared" si="3"/>
        <v>1</v>
      </c>
      <c r="R10" s="222"/>
      <c r="S10" s="222"/>
      <c r="T10" s="222"/>
      <c r="U10" s="240" t="str">
        <f t="shared" si="4"/>
        <v>Incumple</v>
      </c>
      <c r="V10" s="631" t="s">
        <v>2028</v>
      </c>
      <c r="W10" s="648" t="s">
        <v>2029</v>
      </c>
      <c r="X10" s="222"/>
      <c r="Y10" s="230" t="s">
        <v>2030</v>
      </c>
      <c r="Z10" s="103"/>
      <c r="AB10" s="105"/>
    </row>
    <row r="11" spans="1:28" s="104" customFormat="1" ht="409.5" customHeight="1">
      <c r="A11" s="236">
        <v>8</v>
      </c>
      <c r="B11" s="222" t="s">
        <v>1980</v>
      </c>
      <c r="C11" s="222" t="s">
        <v>1981</v>
      </c>
      <c r="D11" s="571" t="s">
        <v>2031</v>
      </c>
      <c r="E11" s="223" t="s">
        <v>2032</v>
      </c>
      <c r="F11" s="223" t="s">
        <v>2033</v>
      </c>
      <c r="G11" s="223" t="s">
        <v>2034</v>
      </c>
      <c r="H11" s="223" t="s">
        <v>2035</v>
      </c>
      <c r="I11" s="223">
        <v>1</v>
      </c>
      <c r="J11" s="192">
        <v>44888</v>
      </c>
      <c r="K11" s="192">
        <v>45118</v>
      </c>
      <c r="L11" s="227">
        <f t="shared" si="0"/>
        <v>32.857142857142854</v>
      </c>
      <c r="M11" s="545">
        <v>45247</v>
      </c>
      <c r="N11" s="227">
        <f t="shared" si="1"/>
        <v>18.428571428571427</v>
      </c>
      <c r="O11" s="238" t="str">
        <f t="shared" ca="1" si="2"/>
        <v>Alerta</v>
      </c>
      <c r="P11" s="544">
        <v>1</v>
      </c>
      <c r="Q11" s="239">
        <f t="shared" si="3"/>
        <v>1</v>
      </c>
      <c r="R11" s="222"/>
      <c r="S11" s="222"/>
      <c r="T11" s="222"/>
      <c r="U11" s="240" t="str">
        <f t="shared" si="4"/>
        <v>Incumple</v>
      </c>
      <c r="V11" s="631" t="s">
        <v>2036</v>
      </c>
      <c r="W11" s="631" t="s">
        <v>2037</v>
      </c>
      <c r="X11" s="222"/>
      <c r="Y11" s="241" t="s">
        <v>2038</v>
      </c>
      <c r="Z11" s="103"/>
    </row>
    <row r="12" spans="1:28" s="104" customFormat="1" ht="347.25">
      <c r="A12" s="236">
        <v>9</v>
      </c>
      <c r="B12" s="222" t="s">
        <v>1980</v>
      </c>
      <c r="C12" s="222" t="s">
        <v>1981</v>
      </c>
      <c r="D12" s="223" t="s">
        <v>2039</v>
      </c>
      <c r="E12" s="223" t="s">
        <v>2040</v>
      </c>
      <c r="F12" s="223" t="s">
        <v>1984</v>
      </c>
      <c r="G12" s="223" t="s">
        <v>1985</v>
      </c>
      <c r="H12" s="223" t="s">
        <v>1986</v>
      </c>
      <c r="I12" s="223">
        <v>1</v>
      </c>
      <c r="J12" s="192">
        <v>44015</v>
      </c>
      <c r="K12" s="192">
        <v>44195</v>
      </c>
      <c r="L12" s="227">
        <f t="shared" si="0"/>
        <v>25.714285714285715</v>
      </c>
      <c r="M12" s="237">
        <v>45107</v>
      </c>
      <c r="N12" s="227">
        <f t="shared" si="1"/>
        <v>130.28571428571428</v>
      </c>
      <c r="O12" s="238" t="str">
        <f t="shared" ca="1" si="2"/>
        <v>Alerta</v>
      </c>
      <c r="P12" s="222">
        <v>0.6</v>
      </c>
      <c r="Q12" s="239">
        <f t="shared" si="3"/>
        <v>0.6</v>
      </c>
      <c r="R12" s="222"/>
      <c r="S12" s="222"/>
      <c r="T12" s="222"/>
      <c r="U12" s="240" t="str">
        <f t="shared" si="4"/>
        <v>Incumple</v>
      </c>
      <c r="V12" s="635" t="s">
        <v>2041</v>
      </c>
      <c r="W12" s="646" t="s">
        <v>2042</v>
      </c>
      <c r="X12" s="222"/>
      <c r="Y12" s="230" t="s">
        <v>2043</v>
      </c>
      <c r="Z12" s="103"/>
    </row>
    <row r="13" spans="1:28" s="104" customFormat="1" ht="318.60000000000002" customHeight="1">
      <c r="A13" s="236">
        <v>10</v>
      </c>
      <c r="B13" s="222" t="s">
        <v>1980</v>
      </c>
      <c r="C13" s="222" t="s">
        <v>1981</v>
      </c>
      <c r="D13" s="230" t="s">
        <v>2044</v>
      </c>
      <c r="E13" s="230" t="s">
        <v>2045</v>
      </c>
      <c r="F13" s="230" t="s">
        <v>2046</v>
      </c>
      <c r="G13" s="223" t="s">
        <v>2047</v>
      </c>
      <c r="H13" s="223" t="s">
        <v>1589</v>
      </c>
      <c r="I13" s="223">
        <v>1</v>
      </c>
      <c r="J13" s="192">
        <v>44015</v>
      </c>
      <c r="K13" s="192">
        <v>44166</v>
      </c>
      <c r="L13" s="227">
        <f t="shared" si="0"/>
        <v>21.571428571428573</v>
      </c>
      <c r="M13" s="192">
        <v>44742</v>
      </c>
      <c r="N13" s="227">
        <f t="shared" si="1"/>
        <v>82.285714285714292</v>
      </c>
      <c r="O13" s="238" t="str">
        <f t="shared" ca="1" si="2"/>
        <v>Alerta</v>
      </c>
      <c r="P13" s="230">
        <v>1</v>
      </c>
      <c r="Q13" s="239">
        <f t="shared" si="3"/>
        <v>1</v>
      </c>
      <c r="R13" s="222"/>
      <c r="S13" s="222"/>
      <c r="T13" s="222"/>
      <c r="U13" s="240" t="str">
        <f t="shared" si="4"/>
        <v>Incumple</v>
      </c>
      <c r="V13" s="647" t="s">
        <v>2048</v>
      </c>
      <c r="W13" s="647"/>
      <c r="X13" s="222"/>
      <c r="Y13" s="241" t="s">
        <v>2049</v>
      </c>
      <c r="Z13" s="103"/>
    </row>
    <row r="14" spans="1:28" s="104" customFormat="1" ht="300" customHeight="1">
      <c r="A14" s="236">
        <v>11</v>
      </c>
      <c r="B14" s="222" t="s">
        <v>1980</v>
      </c>
      <c r="C14" s="222" t="s">
        <v>1981</v>
      </c>
      <c r="D14" s="572" t="s">
        <v>2050</v>
      </c>
      <c r="E14" s="223" t="s">
        <v>2051</v>
      </c>
      <c r="F14" s="223" t="s">
        <v>2052</v>
      </c>
      <c r="G14" s="223" t="s">
        <v>2053</v>
      </c>
      <c r="H14" s="223" t="s">
        <v>2054</v>
      </c>
      <c r="I14" s="223">
        <v>3</v>
      </c>
      <c r="J14" s="192">
        <v>44372</v>
      </c>
      <c r="K14" s="192">
        <v>44530</v>
      </c>
      <c r="L14" s="227">
        <f t="shared" si="0"/>
        <v>22.571428571428573</v>
      </c>
      <c r="M14" s="192">
        <v>44165</v>
      </c>
      <c r="N14" s="227">
        <f t="shared" si="1"/>
        <v>-52.142857142857146</v>
      </c>
      <c r="O14" s="238" t="str">
        <f t="shared" ca="1" si="2"/>
        <v>Alerta</v>
      </c>
      <c r="P14" s="230">
        <v>3</v>
      </c>
      <c r="Q14" s="239">
        <f t="shared" si="3"/>
        <v>1</v>
      </c>
      <c r="R14" s="222"/>
      <c r="S14" s="222"/>
      <c r="T14" s="222"/>
      <c r="U14" s="240" t="str">
        <f t="shared" si="4"/>
        <v>Cumple</v>
      </c>
      <c r="V14" s="647" t="s">
        <v>2055</v>
      </c>
      <c r="W14" s="647"/>
      <c r="X14" s="222"/>
      <c r="Y14" s="223" t="s">
        <v>2056</v>
      </c>
      <c r="Z14" s="103"/>
    </row>
    <row r="15" spans="1:28" s="104" customFormat="1" ht="409.5" customHeight="1">
      <c r="A15" s="236">
        <v>12</v>
      </c>
      <c r="B15" s="222" t="s">
        <v>1980</v>
      </c>
      <c r="C15" s="222" t="s">
        <v>1981</v>
      </c>
      <c r="D15" s="230" t="s">
        <v>2057</v>
      </c>
      <c r="E15" s="223" t="s">
        <v>2058</v>
      </c>
      <c r="F15" s="223" t="s">
        <v>2059</v>
      </c>
      <c r="G15" s="223" t="s">
        <v>2060</v>
      </c>
      <c r="H15" s="223" t="s">
        <v>2061</v>
      </c>
      <c r="I15" s="223">
        <v>1</v>
      </c>
      <c r="J15" s="192">
        <v>44015</v>
      </c>
      <c r="K15" s="192">
        <v>44377</v>
      </c>
      <c r="L15" s="227">
        <f t="shared" si="0"/>
        <v>51.714285714285715</v>
      </c>
      <c r="M15" s="192">
        <v>44165</v>
      </c>
      <c r="N15" s="227">
        <f t="shared" si="1"/>
        <v>-30.285714285714285</v>
      </c>
      <c r="O15" s="238" t="str">
        <f t="shared" ca="1" si="2"/>
        <v>Alerta</v>
      </c>
      <c r="P15" s="222">
        <v>1</v>
      </c>
      <c r="Q15" s="239">
        <f t="shared" si="3"/>
        <v>1</v>
      </c>
      <c r="R15" s="222"/>
      <c r="S15" s="222"/>
      <c r="T15" s="222"/>
      <c r="U15" s="240" t="str">
        <f t="shared" si="4"/>
        <v>Cumple</v>
      </c>
      <c r="V15" s="631" t="s">
        <v>2062</v>
      </c>
      <c r="W15" s="647"/>
      <c r="X15" s="222"/>
      <c r="Y15" s="230" t="s">
        <v>2063</v>
      </c>
      <c r="Z15" s="103"/>
    </row>
    <row r="16" spans="1:28" s="104" customFormat="1" ht="266.25" customHeight="1">
      <c r="A16" s="236">
        <v>13</v>
      </c>
      <c r="B16" s="222" t="s">
        <v>1980</v>
      </c>
      <c r="C16" s="222" t="s">
        <v>1981</v>
      </c>
      <c r="D16" s="230" t="s">
        <v>2064</v>
      </c>
      <c r="E16" s="223" t="s">
        <v>2065</v>
      </c>
      <c r="F16" s="223" t="s">
        <v>2046</v>
      </c>
      <c r="G16" s="223" t="s">
        <v>2066</v>
      </c>
      <c r="H16" s="223" t="s">
        <v>2067</v>
      </c>
      <c r="I16" s="223">
        <v>1</v>
      </c>
      <c r="J16" s="192">
        <v>44015</v>
      </c>
      <c r="K16" s="192">
        <v>44196</v>
      </c>
      <c r="L16" s="227">
        <f t="shared" si="0"/>
        <v>25.857142857142858</v>
      </c>
      <c r="M16" s="192">
        <v>44742</v>
      </c>
      <c r="N16" s="227">
        <f t="shared" si="1"/>
        <v>78</v>
      </c>
      <c r="O16" s="238" t="str">
        <f t="shared" ca="1" si="2"/>
        <v>Alerta</v>
      </c>
      <c r="P16" s="230">
        <v>1</v>
      </c>
      <c r="Q16" s="239">
        <f t="shared" si="3"/>
        <v>1</v>
      </c>
      <c r="R16" s="222"/>
      <c r="S16" s="222"/>
      <c r="T16" s="222"/>
      <c r="U16" s="240" t="str">
        <f t="shared" si="4"/>
        <v>Incumple</v>
      </c>
      <c r="V16" s="647" t="s">
        <v>2068</v>
      </c>
      <c r="W16" s="647"/>
      <c r="X16" s="222"/>
      <c r="Y16" s="230" t="s">
        <v>2069</v>
      </c>
      <c r="Z16" s="103"/>
    </row>
    <row r="17" spans="1:27" s="104" customFormat="1" ht="173.25">
      <c r="A17" s="236">
        <v>14</v>
      </c>
      <c r="B17" s="222" t="s">
        <v>1980</v>
      </c>
      <c r="C17" s="222" t="s">
        <v>1981</v>
      </c>
      <c r="D17" s="230" t="s">
        <v>2070</v>
      </c>
      <c r="E17" s="223" t="s">
        <v>2071</v>
      </c>
      <c r="F17" s="223" t="s">
        <v>2072</v>
      </c>
      <c r="G17" s="223" t="s">
        <v>2073</v>
      </c>
      <c r="H17" s="223" t="s">
        <v>1392</v>
      </c>
      <c r="I17" s="223">
        <v>1</v>
      </c>
      <c r="J17" s="192">
        <v>44015</v>
      </c>
      <c r="K17" s="192">
        <v>44196</v>
      </c>
      <c r="L17" s="227">
        <f t="shared" si="0"/>
        <v>25.857142857142858</v>
      </c>
      <c r="M17" s="192">
        <v>44165</v>
      </c>
      <c r="N17" s="227">
        <f t="shared" si="1"/>
        <v>-4.4285714285714288</v>
      </c>
      <c r="O17" s="238" t="str">
        <f t="shared" ca="1" si="2"/>
        <v>Alerta</v>
      </c>
      <c r="P17" s="230">
        <v>1</v>
      </c>
      <c r="Q17" s="239">
        <f t="shared" si="3"/>
        <v>1</v>
      </c>
      <c r="R17" s="222"/>
      <c r="S17" s="222"/>
      <c r="T17" s="222"/>
      <c r="U17" s="240" t="str">
        <f t="shared" si="4"/>
        <v>Cumple</v>
      </c>
      <c r="V17" s="631" t="s">
        <v>2074</v>
      </c>
      <c r="W17" s="647"/>
      <c r="X17" s="222"/>
      <c r="Y17" s="223" t="s">
        <v>2075</v>
      </c>
      <c r="Z17" s="103"/>
    </row>
    <row r="18" spans="1:27" s="104" customFormat="1" ht="213" customHeight="1">
      <c r="A18" s="236">
        <v>15</v>
      </c>
      <c r="B18" s="222" t="s">
        <v>1980</v>
      </c>
      <c r="C18" s="222" t="s">
        <v>1981</v>
      </c>
      <c r="D18" s="230" t="s">
        <v>2076</v>
      </c>
      <c r="E18" s="223" t="s">
        <v>2077</v>
      </c>
      <c r="F18" s="223" t="s">
        <v>2078</v>
      </c>
      <c r="G18" s="223" t="s">
        <v>2079</v>
      </c>
      <c r="H18" s="223" t="s">
        <v>2080</v>
      </c>
      <c r="I18" s="223">
        <v>1</v>
      </c>
      <c r="J18" s="192">
        <v>44015</v>
      </c>
      <c r="K18" s="192">
        <v>44196</v>
      </c>
      <c r="L18" s="227">
        <f t="shared" si="0"/>
        <v>25.857142857142858</v>
      </c>
      <c r="M18" s="192">
        <v>44165</v>
      </c>
      <c r="N18" s="227">
        <f t="shared" si="1"/>
        <v>-4.4285714285714288</v>
      </c>
      <c r="O18" s="238" t="str">
        <f t="shared" ca="1" si="2"/>
        <v>Alerta</v>
      </c>
      <c r="P18" s="230">
        <v>1</v>
      </c>
      <c r="Q18" s="239">
        <f t="shared" si="3"/>
        <v>1</v>
      </c>
      <c r="R18" s="222"/>
      <c r="S18" s="222"/>
      <c r="T18" s="222"/>
      <c r="U18" s="240" t="str">
        <f t="shared" si="4"/>
        <v>Cumple</v>
      </c>
      <c r="V18" s="631" t="s">
        <v>2081</v>
      </c>
      <c r="W18" s="647"/>
      <c r="X18" s="222"/>
      <c r="Y18" s="230" t="s">
        <v>2082</v>
      </c>
      <c r="Z18" s="103"/>
    </row>
    <row r="19" spans="1:27" s="104" customFormat="1" ht="273.95" customHeight="1">
      <c r="A19" s="236">
        <v>16</v>
      </c>
      <c r="B19" s="222" t="s">
        <v>1980</v>
      </c>
      <c r="C19" s="222" t="s">
        <v>1981</v>
      </c>
      <c r="D19" s="230" t="s">
        <v>2083</v>
      </c>
      <c r="E19" s="223" t="s">
        <v>2084</v>
      </c>
      <c r="F19" s="223" t="s">
        <v>2085</v>
      </c>
      <c r="G19" s="223" t="s">
        <v>2086</v>
      </c>
      <c r="H19" s="223" t="s">
        <v>2087</v>
      </c>
      <c r="I19" s="223">
        <v>1</v>
      </c>
      <c r="J19" s="192">
        <v>44015</v>
      </c>
      <c r="K19" s="192">
        <v>44196</v>
      </c>
      <c r="L19" s="227">
        <f t="shared" si="0"/>
        <v>25.857142857142858</v>
      </c>
      <c r="M19" s="192">
        <v>44165</v>
      </c>
      <c r="N19" s="227">
        <f t="shared" si="1"/>
        <v>-4.4285714285714288</v>
      </c>
      <c r="O19" s="238" t="str">
        <f t="shared" ca="1" si="2"/>
        <v>Alerta</v>
      </c>
      <c r="P19" s="230">
        <v>1</v>
      </c>
      <c r="Q19" s="239">
        <f t="shared" si="3"/>
        <v>1</v>
      </c>
      <c r="R19" s="222"/>
      <c r="S19" s="222"/>
      <c r="T19" s="222"/>
      <c r="U19" s="240" t="str">
        <f t="shared" si="4"/>
        <v>Cumple</v>
      </c>
      <c r="V19" s="631" t="s">
        <v>2088</v>
      </c>
      <c r="W19" s="647"/>
      <c r="X19" s="222"/>
      <c r="Y19" s="230" t="s">
        <v>2089</v>
      </c>
      <c r="Z19" s="103"/>
    </row>
    <row r="20" spans="1:27" s="104" customFormat="1" ht="405">
      <c r="A20" s="236">
        <v>17</v>
      </c>
      <c r="B20" s="222" t="s">
        <v>1980</v>
      </c>
      <c r="C20" s="222" t="s">
        <v>1981</v>
      </c>
      <c r="D20" s="230" t="s">
        <v>2090</v>
      </c>
      <c r="E20" s="223" t="s">
        <v>2091</v>
      </c>
      <c r="F20" s="223" t="s">
        <v>2092</v>
      </c>
      <c r="G20" s="223" t="s">
        <v>2093</v>
      </c>
      <c r="H20" s="223" t="s">
        <v>2094</v>
      </c>
      <c r="I20" s="223">
        <v>1</v>
      </c>
      <c r="J20" s="192">
        <v>44015</v>
      </c>
      <c r="K20" s="192">
        <v>44196</v>
      </c>
      <c r="L20" s="227">
        <f t="shared" si="0"/>
        <v>25.857142857142858</v>
      </c>
      <c r="M20" s="192">
        <v>44165</v>
      </c>
      <c r="N20" s="227">
        <f t="shared" si="1"/>
        <v>-4.4285714285714288</v>
      </c>
      <c r="O20" s="238" t="str">
        <f t="shared" ca="1" si="2"/>
        <v>Alerta</v>
      </c>
      <c r="P20" s="230">
        <v>1</v>
      </c>
      <c r="Q20" s="239">
        <f t="shared" si="3"/>
        <v>1</v>
      </c>
      <c r="R20" s="222"/>
      <c r="S20" s="222"/>
      <c r="T20" s="222"/>
      <c r="U20" s="240" t="str">
        <f t="shared" si="4"/>
        <v>Cumple</v>
      </c>
      <c r="V20" s="647" t="s">
        <v>2095</v>
      </c>
      <c r="W20" s="647"/>
      <c r="X20" s="222"/>
      <c r="Y20" s="230" t="s">
        <v>2096</v>
      </c>
      <c r="Z20" s="103"/>
    </row>
    <row r="21" spans="1:27" s="104" customFormat="1" ht="333">
      <c r="A21" s="236">
        <v>18</v>
      </c>
      <c r="B21" s="222" t="s">
        <v>1980</v>
      </c>
      <c r="C21" s="222" t="s">
        <v>1981</v>
      </c>
      <c r="D21" s="230" t="s">
        <v>2097</v>
      </c>
      <c r="E21" s="223" t="s">
        <v>2098</v>
      </c>
      <c r="F21" s="223" t="s">
        <v>2099</v>
      </c>
      <c r="G21" s="223" t="s">
        <v>2100</v>
      </c>
      <c r="H21" s="223" t="s">
        <v>2101</v>
      </c>
      <c r="I21" s="223">
        <v>1</v>
      </c>
      <c r="J21" s="192">
        <v>44015</v>
      </c>
      <c r="K21" s="192">
        <v>44196</v>
      </c>
      <c r="L21" s="227">
        <f t="shared" si="0"/>
        <v>25.857142857142858</v>
      </c>
      <c r="M21" s="192">
        <v>44742</v>
      </c>
      <c r="N21" s="227">
        <f t="shared" si="1"/>
        <v>78</v>
      </c>
      <c r="O21" s="238" t="str">
        <f t="shared" ca="1" si="2"/>
        <v>Alerta</v>
      </c>
      <c r="P21" s="230">
        <v>1</v>
      </c>
      <c r="Q21" s="239">
        <f t="shared" si="3"/>
        <v>1</v>
      </c>
      <c r="R21" s="222"/>
      <c r="S21" s="222"/>
      <c r="T21" s="222"/>
      <c r="U21" s="240" t="str">
        <f t="shared" si="4"/>
        <v>Incumple</v>
      </c>
      <c r="V21" s="631" t="s">
        <v>2102</v>
      </c>
      <c r="W21" s="649" t="s">
        <v>2103</v>
      </c>
      <c r="X21" s="222"/>
      <c r="Y21" s="230" t="s">
        <v>2104</v>
      </c>
      <c r="Z21" s="103"/>
    </row>
    <row r="22" spans="1:27" s="104" customFormat="1" ht="310.5" customHeight="1">
      <c r="A22" s="236">
        <v>19</v>
      </c>
      <c r="B22" s="222" t="s">
        <v>1980</v>
      </c>
      <c r="C22" s="222" t="s">
        <v>1981</v>
      </c>
      <c r="D22" s="230" t="s">
        <v>2105</v>
      </c>
      <c r="E22" s="223" t="s">
        <v>2106</v>
      </c>
      <c r="F22" s="223" t="s">
        <v>2107</v>
      </c>
      <c r="G22" s="223" t="s">
        <v>2108</v>
      </c>
      <c r="H22" s="223" t="s">
        <v>2109</v>
      </c>
      <c r="I22" s="223">
        <v>1</v>
      </c>
      <c r="J22" s="192">
        <v>44015</v>
      </c>
      <c r="K22" s="192">
        <v>44195</v>
      </c>
      <c r="L22" s="227">
        <f t="shared" si="0"/>
        <v>25.714285714285715</v>
      </c>
      <c r="M22" s="545">
        <v>45275</v>
      </c>
      <c r="N22" s="227">
        <f t="shared" si="1"/>
        <v>154.28571428571428</v>
      </c>
      <c r="O22" s="238" t="str">
        <f t="shared" ca="1" si="2"/>
        <v>Alerta</v>
      </c>
      <c r="P22" s="544">
        <v>0.72</v>
      </c>
      <c r="Q22" s="239">
        <f t="shared" si="3"/>
        <v>0.72</v>
      </c>
      <c r="R22" s="222"/>
      <c r="S22" s="222"/>
      <c r="T22" s="222"/>
      <c r="U22" s="240" t="str">
        <f t="shared" si="4"/>
        <v>Incumple</v>
      </c>
      <c r="V22" s="631" t="s">
        <v>2110</v>
      </c>
      <c r="W22" s="646" t="s">
        <v>2111</v>
      </c>
      <c r="X22" s="222"/>
      <c r="Y22" s="230" t="s">
        <v>2112</v>
      </c>
      <c r="Z22" s="103"/>
    </row>
    <row r="23" spans="1:27" s="104" customFormat="1" ht="201.75">
      <c r="A23" s="236">
        <v>19</v>
      </c>
      <c r="B23" s="222" t="s">
        <v>1980</v>
      </c>
      <c r="C23" s="222" t="s">
        <v>1981</v>
      </c>
      <c r="D23" s="230" t="s">
        <v>2113</v>
      </c>
      <c r="E23" s="223" t="s">
        <v>2106</v>
      </c>
      <c r="F23" s="223" t="s">
        <v>2114</v>
      </c>
      <c r="G23" s="223" t="s">
        <v>2115</v>
      </c>
      <c r="H23" s="223" t="s">
        <v>2116</v>
      </c>
      <c r="I23" s="223">
        <v>1</v>
      </c>
      <c r="J23" s="192">
        <v>44015</v>
      </c>
      <c r="K23" s="192">
        <v>44316</v>
      </c>
      <c r="L23" s="227">
        <f t="shared" si="0"/>
        <v>43</v>
      </c>
      <c r="M23" s="192">
        <v>44742</v>
      </c>
      <c r="N23" s="227">
        <f t="shared" si="1"/>
        <v>60.857142857142854</v>
      </c>
      <c r="O23" s="238" t="str">
        <f t="shared" ca="1" si="2"/>
        <v>Alerta</v>
      </c>
      <c r="P23" s="230">
        <v>1</v>
      </c>
      <c r="Q23" s="239">
        <f t="shared" si="3"/>
        <v>1</v>
      </c>
      <c r="R23" s="222"/>
      <c r="S23" s="222"/>
      <c r="T23" s="222"/>
      <c r="U23" s="240" t="str">
        <f t="shared" si="4"/>
        <v>Incumple</v>
      </c>
      <c r="V23" s="631" t="s">
        <v>2117</v>
      </c>
      <c r="W23" s="647"/>
      <c r="X23" s="222"/>
      <c r="Y23" s="230" t="s">
        <v>2118</v>
      </c>
      <c r="Z23" s="103"/>
    </row>
    <row r="24" spans="1:27" s="104" customFormat="1" ht="345.75" customHeight="1">
      <c r="A24" s="236">
        <v>19</v>
      </c>
      <c r="B24" s="222" t="s">
        <v>1980</v>
      </c>
      <c r="C24" s="222" t="s">
        <v>1981</v>
      </c>
      <c r="D24" s="230" t="s">
        <v>2119</v>
      </c>
      <c r="E24" s="223" t="s">
        <v>2120</v>
      </c>
      <c r="F24" s="223" t="s">
        <v>2121</v>
      </c>
      <c r="G24" s="223" t="s">
        <v>2122</v>
      </c>
      <c r="H24" s="223" t="s">
        <v>2123</v>
      </c>
      <c r="I24" s="223">
        <v>1</v>
      </c>
      <c r="J24" s="192">
        <v>44015</v>
      </c>
      <c r="K24" s="192">
        <v>44380</v>
      </c>
      <c r="L24" s="227">
        <f t="shared" si="0"/>
        <v>52.142857142857146</v>
      </c>
      <c r="M24" s="192">
        <v>44925</v>
      </c>
      <c r="N24" s="227">
        <f t="shared" si="1"/>
        <v>77.857142857142861</v>
      </c>
      <c r="O24" s="238" t="str">
        <f t="shared" ca="1" si="2"/>
        <v>Alerta</v>
      </c>
      <c r="P24" s="230">
        <v>1</v>
      </c>
      <c r="Q24" s="239">
        <f t="shared" si="3"/>
        <v>1</v>
      </c>
      <c r="R24" s="222"/>
      <c r="S24" s="222"/>
      <c r="T24" s="222"/>
      <c r="U24" s="240" t="str">
        <f t="shared" si="4"/>
        <v>Incumple</v>
      </c>
      <c r="V24" s="631" t="s">
        <v>2124</v>
      </c>
      <c r="W24" s="647" t="s">
        <v>2125</v>
      </c>
      <c r="X24" s="222"/>
      <c r="Y24" s="230" t="s">
        <v>2118</v>
      </c>
      <c r="Z24" s="103"/>
    </row>
    <row r="25" spans="1:27" s="104" customFormat="1" ht="351.75" customHeight="1">
      <c r="A25" s="236">
        <v>19</v>
      </c>
      <c r="B25" s="222" t="s">
        <v>1980</v>
      </c>
      <c r="C25" s="222" t="s">
        <v>1981</v>
      </c>
      <c r="D25" s="220" t="s">
        <v>2126</v>
      </c>
      <c r="E25" s="223" t="s">
        <v>2127</v>
      </c>
      <c r="F25" s="223" t="s">
        <v>2128</v>
      </c>
      <c r="G25" s="223" t="s">
        <v>2129</v>
      </c>
      <c r="H25" s="223" t="s">
        <v>2130</v>
      </c>
      <c r="I25" s="223">
        <v>2</v>
      </c>
      <c r="J25" s="192">
        <v>44015</v>
      </c>
      <c r="K25" s="192">
        <v>44195</v>
      </c>
      <c r="L25" s="227">
        <f t="shared" si="0"/>
        <v>25.714285714285715</v>
      </c>
      <c r="M25" s="192">
        <v>44742</v>
      </c>
      <c r="N25" s="227">
        <f t="shared" si="1"/>
        <v>78.142857142857139</v>
      </c>
      <c r="O25" s="238" t="str">
        <f t="shared" ca="1" si="2"/>
        <v>Alerta</v>
      </c>
      <c r="P25" s="230">
        <v>2</v>
      </c>
      <c r="Q25" s="239">
        <f t="shared" si="3"/>
        <v>1</v>
      </c>
      <c r="R25" s="222"/>
      <c r="S25" s="222"/>
      <c r="T25" s="222"/>
      <c r="U25" s="240" t="str">
        <f t="shared" si="4"/>
        <v>Incumple</v>
      </c>
      <c r="V25" s="631" t="s">
        <v>2131</v>
      </c>
      <c r="W25" s="647" t="s">
        <v>2132</v>
      </c>
      <c r="X25" s="222"/>
      <c r="Y25" s="230" t="s">
        <v>2133</v>
      </c>
      <c r="Z25" s="103"/>
      <c r="AA25" s="94"/>
    </row>
    <row r="26" spans="1:27" s="104" customFormat="1" ht="246" customHeight="1">
      <c r="A26" s="236">
        <v>19</v>
      </c>
      <c r="B26" s="222" t="s">
        <v>1980</v>
      </c>
      <c r="C26" s="548" t="s">
        <v>1981</v>
      </c>
      <c r="D26" s="220" t="s">
        <v>2134</v>
      </c>
      <c r="E26" s="223" t="s">
        <v>2127</v>
      </c>
      <c r="F26" s="223" t="s">
        <v>2135</v>
      </c>
      <c r="G26" s="223" t="s">
        <v>2136</v>
      </c>
      <c r="H26" s="223" t="s">
        <v>2137</v>
      </c>
      <c r="I26" s="223">
        <v>1</v>
      </c>
      <c r="J26" s="192">
        <v>44015</v>
      </c>
      <c r="K26" s="192">
        <v>44195</v>
      </c>
      <c r="L26" s="227">
        <f>(K26-J26)/7</f>
        <v>25.714285714285715</v>
      </c>
      <c r="M26" s="237">
        <v>45271</v>
      </c>
      <c r="N26" s="227">
        <f>(M26-K26)/7</f>
        <v>153.71428571428572</v>
      </c>
      <c r="O26" s="238" t="str">
        <f ca="1">IF((K26-TODAY())/7&gt;=L26/4,"En tiempo","Alerta")</f>
        <v>Alerta</v>
      </c>
      <c r="P26" s="230">
        <v>0.8</v>
      </c>
      <c r="Q26" s="239">
        <f>IF(P26/I26=1,1,+P26/I26)</f>
        <v>0.8</v>
      </c>
      <c r="R26" s="222"/>
      <c r="S26" s="222"/>
      <c r="T26" s="222"/>
      <c r="U26" s="240" t="str">
        <f>IF(M26&lt;=K26,"Cumple","Incumple")</f>
        <v>Incumple</v>
      </c>
      <c r="V26" s="631" t="s">
        <v>2138</v>
      </c>
      <c r="W26" s="631" t="s">
        <v>2139</v>
      </c>
      <c r="X26" s="222"/>
      <c r="Y26" s="230" t="s">
        <v>2133</v>
      </c>
      <c r="Z26" s="103"/>
    </row>
    <row r="27" spans="1:27" s="104" customFormat="1" ht="323.25" customHeight="1">
      <c r="A27" s="236">
        <v>19</v>
      </c>
      <c r="B27" s="222" t="s">
        <v>1980</v>
      </c>
      <c r="C27" s="222" t="s">
        <v>1981</v>
      </c>
      <c r="D27" s="230" t="s">
        <v>2140</v>
      </c>
      <c r="E27" s="223" t="s">
        <v>2106</v>
      </c>
      <c r="F27" s="223" t="s">
        <v>2141</v>
      </c>
      <c r="G27" s="223" t="s">
        <v>2108</v>
      </c>
      <c r="H27" s="223" t="s">
        <v>2109</v>
      </c>
      <c r="I27" s="223">
        <v>2</v>
      </c>
      <c r="J27" s="192">
        <v>44015</v>
      </c>
      <c r="K27" s="192">
        <v>44195</v>
      </c>
      <c r="L27" s="227">
        <f>(K27-J27)/7</f>
        <v>25.714285714285715</v>
      </c>
      <c r="M27" s="545">
        <v>45275</v>
      </c>
      <c r="N27" s="227">
        <f>(M27-K27)/7</f>
        <v>154.28571428571428</v>
      </c>
      <c r="O27" s="238" t="str">
        <f ca="1">IF((K27-TODAY())/7&gt;=L27/4,"En tiempo","Alerta")</f>
        <v>Alerta</v>
      </c>
      <c r="P27" s="544">
        <v>1.44</v>
      </c>
      <c r="Q27" s="239">
        <f>IF(P27/I27=1,1,+P27/I27)</f>
        <v>0.72</v>
      </c>
      <c r="R27" s="222"/>
      <c r="S27" s="222"/>
      <c r="T27" s="222"/>
      <c r="U27" s="240" t="str">
        <f>IF(M27&lt;=K27,"Cumple","Incumple")</f>
        <v>Incumple</v>
      </c>
      <c r="V27" s="631" t="s">
        <v>2110</v>
      </c>
      <c r="W27" s="646" t="s">
        <v>2142</v>
      </c>
      <c r="X27" s="222"/>
      <c r="Y27" s="230" t="s">
        <v>2112</v>
      </c>
      <c r="Z27" s="103"/>
    </row>
    <row r="28" spans="1:27" s="104" customFormat="1" ht="279" customHeight="1">
      <c r="A28" s="236">
        <v>19</v>
      </c>
      <c r="B28" s="222" t="s">
        <v>1980</v>
      </c>
      <c r="C28" s="548" t="s">
        <v>1981</v>
      </c>
      <c r="D28" s="230" t="s">
        <v>2143</v>
      </c>
      <c r="E28" s="223" t="s">
        <v>2127</v>
      </c>
      <c r="F28" s="223" t="s">
        <v>2128</v>
      </c>
      <c r="G28" s="223" t="s">
        <v>2144</v>
      </c>
      <c r="H28" s="223" t="s">
        <v>2145</v>
      </c>
      <c r="I28" s="223">
        <v>1</v>
      </c>
      <c r="J28" s="192">
        <v>42051</v>
      </c>
      <c r="K28" s="192">
        <v>42154</v>
      </c>
      <c r="L28" s="227">
        <f>(K28-J28)/7</f>
        <v>14.714285714285714</v>
      </c>
      <c r="M28" s="237">
        <v>45271</v>
      </c>
      <c r="N28" s="227">
        <f t="shared" si="1"/>
        <v>445.28571428571428</v>
      </c>
      <c r="O28" s="238" t="str">
        <f t="shared" ca="1" si="2"/>
        <v>Alerta</v>
      </c>
      <c r="P28" s="230">
        <v>0.82</v>
      </c>
      <c r="Q28" s="239">
        <f t="shared" si="3"/>
        <v>0.82</v>
      </c>
      <c r="R28" s="222"/>
      <c r="S28" s="222"/>
      <c r="T28" s="222"/>
      <c r="U28" s="240" t="str">
        <f t="shared" si="4"/>
        <v>Incumple</v>
      </c>
      <c r="V28" s="650" t="s">
        <v>2146</v>
      </c>
      <c r="W28" s="649" t="s">
        <v>2147</v>
      </c>
      <c r="X28" s="222"/>
      <c r="Y28" s="230" t="s">
        <v>2133</v>
      </c>
      <c r="Z28" s="103"/>
      <c r="AA28" s="94"/>
    </row>
    <row r="29" spans="1:27" s="104" customFormat="1" ht="224.25" customHeight="1">
      <c r="A29" s="236">
        <v>19</v>
      </c>
      <c r="B29" s="222" t="s">
        <v>1980</v>
      </c>
      <c r="C29" s="548" t="s">
        <v>1981</v>
      </c>
      <c r="D29" s="230" t="s">
        <v>2148</v>
      </c>
      <c r="E29" s="223" t="s">
        <v>2127</v>
      </c>
      <c r="F29" s="223" t="s">
        <v>2135</v>
      </c>
      <c r="G29" s="223" t="s">
        <v>2149</v>
      </c>
      <c r="H29" s="223" t="s">
        <v>2150</v>
      </c>
      <c r="I29" s="223">
        <v>1</v>
      </c>
      <c r="J29" s="192">
        <v>42051</v>
      </c>
      <c r="K29" s="192">
        <v>42154</v>
      </c>
      <c r="L29" s="227">
        <f>(K29-J29)/7</f>
        <v>14.714285714285714</v>
      </c>
      <c r="M29" s="237">
        <v>45271</v>
      </c>
      <c r="N29" s="227">
        <f t="shared" ref="N29" si="5">(M29-K29)/7</f>
        <v>445.28571428571428</v>
      </c>
      <c r="O29" s="238" t="str">
        <f t="shared" ref="O29" ca="1" si="6">IF((K29-TODAY())/7&gt;=L29/4,"En tiempo","Alerta")</f>
        <v>Alerta</v>
      </c>
      <c r="P29" s="230">
        <v>0.3</v>
      </c>
      <c r="Q29" s="239">
        <f t="shared" si="3"/>
        <v>0.3</v>
      </c>
      <c r="R29" s="222"/>
      <c r="S29" s="222"/>
      <c r="T29" s="222"/>
      <c r="U29" s="240" t="str">
        <f t="shared" si="4"/>
        <v>Incumple</v>
      </c>
      <c r="V29" s="650" t="s">
        <v>2151</v>
      </c>
      <c r="W29" s="647" t="s">
        <v>2152</v>
      </c>
      <c r="X29" s="222"/>
      <c r="Y29" s="230" t="s">
        <v>2133</v>
      </c>
      <c r="Z29" s="103"/>
    </row>
    <row r="30" spans="1:27" ht="30.75" thickBot="1">
      <c r="A30" s="101"/>
      <c r="B30" s="101"/>
      <c r="C30" s="101"/>
      <c r="D30" s="101"/>
      <c r="E30" s="101"/>
      <c r="F30" s="101"/>
      <c r="G30" s="96"/>
      <c r="H30" s="246" t="s">
        <v>2153</v>
      </c>
      <c r="I30" s="243">
        <f>SUM(I4:I29)</f>
        <v>34</v>
      </c>
      <c r="J30" s="245"/>
      <c r="K30" s="106"/>
      <c r="L30" s="101"/>
      <c r="M30" s="106"/>
      <c r="N30" s="101"/>
      <c r="O30" s="96"/>
      <c r="P30" s="243">
        <f>SUM(P4:P29)</f>
        <v>31.28</v>
      </c>
      <c r="Q30" s="244">
        <f>AVERAGE(Q4:Q29)</f>
        <v>0.90615384615384609</v>
      </c>
      <c r="R30" s="97"/>
      <c r="S30" s="101"/>
      <c r="T30" s="96"/>
      <c r="U30" s="242">
        <f>(COUNTIF(U4:U29,"Cumple")*100%)/COUNTA(U4:U29)</f>
        <v>0.34615384615384615</v>
      </c>
      <c r="V30" s="97"/>
      <c r="W30" s="101"/>
      <c r="X30" s="101"/>
      <c r="Y30" s="101"/>
    </row>
    <row r="31" spans="1:27" ht="15">
      <c r="H31" s="101"/>
      <c r="I31" s="101"/>
      <c r="P31" s="101"/>
      <c r="Q31" s="101"/>
      <c r="U31" s="101"/>
      <c r="V31" s="102"/>
    </row>
  </sheetData>
  <autoFilter ref="A3:AB3" xr:uid="{00000000-0001-0000-0D00-000000000000}"/>
  <mergeCells count="1">
    <mergeCell ref="A1:Y2"/>
  </mergeCells>
  <conditionalFormatting sqref="O4:O29">
    <cfRule type="containsText" dxfId="94" priority="15" operator="containsText" text="Alerta">
      <formula>NOT(ISERROR(SEARCH("Alerta",O4)))</formula>
    </cfRule>
    <cfRule type="containsText" dxfId="93" priority="16" operator="containsText" text="En tiempo">
      <formula>NOT(ISERROR(SEARCH("En tiempo",O4)))</formula>
    </cfRule>
  </conditionalFormatting>
  <conditionalFormatting sqref="Q3">
    <cfRule type="cellIs" dxfId="92" priority="5" stopIfTrue="1" operator="between">
      <formula>0.9</formula>
      <formula>1</formula>
    </cfRule>
    <cfRule type="cellIs" dxfId="91" priority="6" stopIfTrue="1" operator="between">
      <formula>0.5</formula>
      <formula>0.89</formula>
    </cfRule>
    <cfRule type="cellIs" dxfId="90" priority="7" stopIfTrue="1" operator="between">
      <formula>0.2</formula>
      <formula>0.49</formula>
    </cfRule>
    <cfRule type="cellIs" dxfId="89" priority="8" stopIfTrue="1" operator="between">
      <formula>0</formula>
      <formula>0.19</formula>
    </cfRule>
  </conditionalFormatting>
  <conditionalFormatting sqref="Q4:Q29">
    <cfRule type="cellIs" dxfId="88" priority="9" operator="between">
      <formula>0.19</formula>
      <formula>0</formula>
    </cfRule>
    <cfRule type="cellIs" dxfId="87" priority="10" operator="between">
      <formula>0.49</formula>
      <formula>0.2</formula>
    </cfRule>
    <cfRule type="cellIs" dxfId="86" priority="11" operator="between">
      <formula>0.89</formula>
      <formula>0.5</formula>
    </cfRule>
    <cfRule type="cellIs" dxfId="85" priority="12" operator="between">
      <formula>1</formula>
      <formula>0.9</formula>
    </cfRule>
  </conditionalFormatting>
  <conditionalFormatting sqref="U4:U29">
    <cfRule type="containsText" dxfId="84" priority="13" operator="containsText" text="Incumple">
      <formula>NOT(ISERROR(SEARCH("Incumple",U4)))</formula>
    </cfRule>
    <cfRule type="containsText" dxfId="83" priority="14" operator="containsText" text="Cumple">
      <formula>NOT(ISERROR(SEARCH("Cumple",U4)))</formula>
    </cfRule>
  </conditionalFormatting>
  <conditionalFormatting sqref="U30">
    <cfRule type="cellIs" dxfId="82" priority="1" operator="between">
      <formula>0.19</formula>
      <formula>0</formula>
    </cfRule>
    <cfRule type="cellIs" dxfId="81" priority="2" operator="between">
      <formula>0.49</formula>
      <formula>0.2</formula>
    </cfRule>
    <cfRule type="cellIs" dxfId="80" priority="3" operator="between">
      <formula>0.89</formula>
      <formula>0.5</formula>
    </cfRule>
    <cfRule type="cellIs" dxfId="79" priority="4" operator="between">
      <formula>1</formula>
      <formula>0.9</formula>
    </cfRule>
  </conditionalFormatting>
  <dataValidations disablePrompts="1" count="8">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4" xr:uid="{00000000-0002-0000-0D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4" xr:uid="{00000000-0002-0000-0D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4" xr:uid="{00000000-0002-0000-0D00-000002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4" xr:uid="{00000000-0002-0000-0D00-000003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K4" xr:uid="{00000000-0002-0000-0D00-000004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4" xr:uid="{00000000-0002-0000-0D00-000005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4" xr:uid="{00000000-0002-0000-0D00-000006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4" xr:uid="{00000000-0002-0000-0D00-000007000000}">
      <formula1>0</formula1>
      <formula2>390</formula2>
    </dataValidation>
  </dataValidations>
  <pageMargins left="0.7" right="0.7" top="0.75" bottom="0.75" header="0.3" footer="0.3"/>
  <pageSetup paperSize="9" orientation="portrait"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Y34"/>
  <sheetViews>
    <sheetView zoomScale="25" zoomScaleNormal="25" workbookViewId="0">
      <selection activeCell="D3" sqref="D3"/>
    </sheetView>
  </sheetViews>
  <sheetFormatPr defaultColWidth="9.140625" defaultRowHeight="14.25"/>
  <cols>
    <col min="1" max="1" width="9.28515625" style="107" bestFit="1" customWidth="1"/>
    <col min="2" max="3" width="9.140625" style="107"/>
    <col min="4" max="4" width="105.42578125" style="107" customWidth="1"/>
    <col min="5" max="5" width="40.7109375" style="107" customWidth="1"/>
    <col min="6" max="6" width="33.5703125" style="107" customWidth="1"/>
    <col min="7" max="7" width="39.42578125" style="107" customWidth="1"/>
    <col min="8" max="8" width="26.42578125" style="107" customWidth="1"/>
    <col min="9" max="9" width="9.140625" style="107" customWidth="1"/>
    <col min="10" max="10" width="11.42578125" style="110" hidden="1" customWidth="1"/>
    <col min="11" max="11" width="15.85546875" style="110" customWidth="1"/>
    <col min="12" max="12" width="16" style="107" customWidth="1"/>
    <col min="13" max="13" width="14.85546875" style="110" customWidth="1"/>
    <col min="14" max="14" width="14.7109375" style="107" customWidth="1"/>
    <col min="15" max="16" width="12.85546875" style="107" customWidth="1"/>
    <col min="17" max="17" width="11" style="107" bestFit="1" customWidth="1"/>
    <col min="18" max="20" width="9.140625" style="107" customWidth="1"/>
    <col min="21" max="21" width="14.7109375" style="107" customWidth="1"/>
    <col min="22" max="22" width="61.5703125" style="107" customWidth="1"/>
    <col min="23" max="23" width="35.140625" style="107" customWidth="1"/>
    <col min="24" max="24" width="0.140625" style="107" customWidth="1"/>
    <col min="25" max="25" width="29.5703125" style="107" customWidth="1"/>
    <col min="26" max="26" width="9.28515625" style="107" bestFit="1" customWidth="1"/>
    <col min="27" max="16384" width="9.140625" style="107"/>
  </cols>
  <sheetData>
    <row r="1" spans="1:25" ht="15" thickBot="1">
      <c r="A1" s="798" t="s">
        <v>2154</v>
      </c>
      <c r="B1" s="798"/>
      <c r="C1" s="798"/>
      <c r="D1" s="798"/>
      <c r="E1" s="798"/>
      <c r="F1" s="798"/>
      <c r="G1" s="798"/>
      <c r="H1" s="798"/>
      <c r="I1" s="799"/>
      <c r="J1" s="798"/>
      <c r="K1" s="798"/>
      <c r="L1" s="798"/>
      <c r="M1" s="798"/>
      <c r="N1" s="798"/>
      <c r="O1" s="798"/>
      <c r="P1" s="798"/>
      <c r="Q1" s="798"/>
      <c r="R1" s="798"/>
      <c r="S1" s="798"/>
      <c r="T1" s="798"/>
      <c r="U1" s="798"/>
      <c r="V1" s="798"/>
      <c r="W1" s="798"/>
      <c r="X1" s="798"/>
      <c r="Y1" s="798"/>
    </row>
    <row r="2" spans="1:25" ht="36" customHeight="1" thickBot="1">
      <c r="A2" s="798"/>
      <c r="B2" s="798"/>
      <c r="C2" s="798"/>
      <c r="D2" s="798"/>
      <c r="E2" s="798"/>
      <c r="F2" s="798"/>
      <c r="G2" s="798"/>
      <c r="H2" s="798"/>
      <c r="I2" s="799"/>
      <c r="J2" s="798"/>
      <c r="K2" s="798"/>
      <c r="L2" s="798"/>
      <c r="M2" s="798"/>
      <c r="N2" s="798"/>
      <c r="O2" s="798"/>
      <c r="P2" s="798"/>
      <c r="Q2" s="798"/>
      <c r="R2" s="798"/>
      <c r="S2" s="798"/>
      <c r="T2" s="798"/>
      <c r="U2" s="798"/>
      <c r="V2" s="798"/>
      <c r="W2" s="798"/>
      <c r="X2" s="798"/>
      <c r="Y2" s="798"/>
    </row>
    <row r="3" spans="1:25" s="64" customFormat="1" ht="102" customHeight="1" thickBot="1">
      <c r="A3" s="204"/>
      <c r="B3" s="205" t="s">
        <v>1966</v>
      </c>
      <c r="C3" s="205"/>
      <c r="D3" s="205" t="s">
        <v>1967</v>
      </c>
      <c r="E3" s="205" t="s">
        <v>1968</v>
      </c>
      <c r="F3" s="205" t="s">
        <v>1969</v>
      </c>
      <c r="G3" s="205" t="s">
        <v>26</v>
      </c>
      <c r="H3" s="205" t="s">
        <v>1970</v>
      </c>
      <c r="I3" s="205" t="s">
        <v>1971</v>
      </c>
      <c r="J3" s="206" t="s">
        <v>33</v>
      </c>
      <c r="K3" s="206" t="s">
        <v>34</v>
      </c>
      <c r="L3" s="205" t="s">
        <v>35</v>
      </c>
      <c r="M3" s="206" t="s">
        <v>36</v>
      </c>
      <c r="N3" s="205" t="s">
        <v>1972</v>
      </c>
      <c r="O3" s="205" t="s">
        <v>1973</v>
      </c>
      <c r="P3" s="205" t="s">
        <v>40</v>
      </c>
      <c r="Q3" s="205" t="s">
        <v>41</v>
      </c>
      <c r="R3" s="205" t="s">
        <v>1974</v>
      </c>
      <c r="S3" s="187" t="s">
        <v>1975</v>
      </c>
      <c r="T3" s="187" t="s">
        <v>1976</v>
      </c>
      <c r="U3" s="187" t="s">
        <v>43</v>
      </c>
      <c r="V3" s="187" t="s">
        <v>1977</v>
      </c>
      <c r="W3" s="187" t="s">
        <v>1978</v>
      </c>
      <c r="X3" s="187" t="s">
        <v>20</v>
      </c>
      <c r="Y3" s="187" t="s">
        <v>1979</v>
      </c>
    </row>
    <row r="4" spans="1:25" ht="265.5" customHeight="1">
      <c r="A4" s="207">
        <v>1</v>
      </c>
      <c r="B4" s="208" t="s">
        <v>1980</v>
      </c>
      <c r="C4" s="208" t="s">
        <v>2155</v>
      </c>
      <c r="D4" s="209" t="s">
        <v>2156</v>
      </c>
      <c r="E4" s="210" t="s">
        <v>2157</v>
      </c>
      <c r="F4" s="211" t="s">
        <v>2158</v>
      </c>
      <c r="G4" s="211" t="s">
        <v>2159</v>
      </c>
      <c r="H4" s="211" t="s">
        <v>2160</v>
      </c>
      <c r="I4" s="212">
        <v>12</v>
      </c>
      <c r="J4" s="213">
        <v>44389</v>
      </c>
      <c r="K4" s="213">
        <v>44747</v>
      </c>
      <c r="L4" s="214">
        <f t="shared" ref="L4:L33" si="0">(K4-J4)/7</f>
        <v>51.142857142857146</v>
      </c>
      <c r="M4" s="215">
        <v>44742</v>
      </c>
      <c r="N4" s="214">
        <f t="shared" ref="N4:N33" si="1">(M4-K4)/7</f>
        <v>-0.7142857142857143</v>
      </c>
      <c r="O4" s="216" t="str">
        <f t="shared" ref="O4:O33" ca="1" si="2">IF((K4-TODAY())/7&gt;=L4/4,"En tiempo","Alerta")</f>
        <v>Alerta</v>
      </c>
      <c r="P4" s="217">
        <v>12</v>
      </c>
      <c r="Q4" s="161">
        <f>IF(P4/I4=1,1,+P4/I4)</f>
        <v>1</v>
      </c>
      <c r="R4" s="218"/>
      <c r="S4" s="218"/>
      <c r="T4" s="218"/>
      <c r="U4" s="219" t="str">
        <f t="shared" ref="U4:U33" si="3">IF(M4&lt;=K4,"Cumple","Incumple")</f>
        <v>Cumple</v>
      </c>
      <c r="V4" s="631"/>
      <c r="W4" s="647" t="s">
        <v>2161</v>
      </c>
      <c r="X4" s="647"/>
      <c r="Y4" s="651" t="s">
        <v>2162</v>
      </c>
    </row>
    <row r="5" spans="1:25" ht="270.60000000000002" customHeight="1">
      <c r="A5" s="221">
        <v>1</v>
      </c>
      <c r="B5" s="222" t="s">
        <v>1980</v>
      </c>
      <c r="C5" s="222" t="s">
        <v>2155</v>
      </c>
      <c r="D5" s="223" t="s">
        <v>2156</v>
      </c>
      <c r="E5" s="223" t="s">
        <v>2157</v>
      </c>
      <c r="F5" s="224" t="s">
        <v>2158</v>
      </c>
      <c r="G5" s="224" t="s">
        <v>2163</v>
      </c>
      <c r="H5" s="224" t="s">
        <v>2164</v>
      </c>
      <c r="I5" s="225">
        <v>12</v>
      </c>
      <c r="J5" s="226">
        <v>44389</v>
      </c>
      <c r="K5" s="226">
        <v>44747</v>
      </c>
      <c r="L5" s="227">
        <f t="shared" si="0"/>
        <v>51.142857142857146</v>
      </c>
      <c r="M5" s="228">
        <v>44742</v>
      </c>
      <c r="N5" s="227">
        <f t="shared" si="1"/>
        <v>-0.7142857142857143</v>
      </c>
      <c r="O5" s="229" t="str">
        <f t="shared" ca="1" si="2"/>
        <v>Alerta</v>
      </c>
      <c r="P5" s="230">
        <v>12</v>
      </c>
      <c r="Q5" s="190">
        <f t="shared" ref="Q5:Q33" si="4">IF(P5/I5=1,1,+P5/I5)</f>
        <v>1</v>
      </c>
      <c r="R5" s="222"/>
      <c r="S5" s="222"/>
      <c r="T5" s="222"/>
      <c r="U5" s="191" t="str">
        <f t="shared" si="3"/>
        <v>Cumple</v>
      </c>
      <c r="V5" s="644" t="s">
        <v>2165</v>
      </c>
      <c r="W5" s="647" t="s">
        <v>2166</v>
      </c>
      <c r="X5" s="647"/>
      <c r="Y5" s="651" t="s">
        <v>2167</v>
      </c>
    </row>
    <row r="6" spans="1:25" ht="386.1" customHeight="1">
      <c r="A6" s="221">
        <v>2</v>
      </c>
      <c r="B6" s="222" t="s">
        <v>1980</v>
      </c>
      <c r="C6" s="222" t="s">
        <v>2155</v>
      </c>
      <c r="D6" s="223" t="s">
        <v>2168</v>
      </c>
      <c r="E6" s="223" t="s">
        <v>2169</v>
      </c>
      <c r="F6" s="230" t="s">
        <v>2170</v>
      </c>
      <c r="G6" s="230" t="s">
        <v>2171</v>
      </c>
      <c r="H6" s="230" t="s">
        <v>2172</v>
      </c>
      <c r="I6" s="225">
        <v>1</v>
      </c>
      <c r="J6" s="226">
        <v>44389</v>
      </c>
      <c r="K6" s="226">
        <v>44484</v>
      </c>
      <c r="L6" s="227">
        <f t="shared" si="0"/>
        <v>13.571428571428571</v>
      </c>
      <c r="M6" s="228">
        <v>44742</v>
      </c>
      <c r="N6" s="227">
        <f t="shared" si="1"/>
        <v>36.857142857142854</v>
      </c>
      <c r="O6" s="229" t="str">
        <f t="shared" ca="1" si="2"/>
        <v>Alerta</v>
      </c>
      <c r="P6" s="230">
        <v>1</v>
      </c>
      <c r="Q6" s="190">
        <f t="shared" si="4"/>
        <v>1</v>
      </c>
      <c r="R6" s="222"/>
      <c r="S6" s="222"/>
      <c r="T6" s="222"/>
      <c r="U6" s="191" t="str">
        <f t="shared" si="3"/>
        <v>Incumple</v>
      </c>
      <c r="V6" s="644" t="s">
        <v>2173</v>
      </c>
      <c r="W6" s="647" t="s">
        <v>2174</v>
      </c>
      <c r="X6" s="647"/>
      <c r="Y6" s="651" t="s">
        <v>2175</v>
      </c>
    </row>
    <row r="7" spans="1:25" ht="327" customHeight="1">
      <c r="A7" s="221">
        <v>2</v>
      </c>
      <c r="B7" s="222" t="s">
        <v>1980</v>
      </c>
      <c r="C7" s="222" t="s">
        <v>2155</v>
      </c>
      <c r="D7" s="223" t="s">
        <v>2168</v>
      </c>
      <c r="E7" s="223" t="s">
        <v>2169</v>
      </c>
      <c r="F7" s="230" t="s">
        <v>2170</v>
      </c>
      <c r="G7" s="230" t="s">
        <v>2176</v>
      </c>
      <c r="H7" s="230" t="s">
        <v>1738</v>
      </c>
      <c r="I7" s="225">
        <v>1</v>
      </c>
      <c r="J7" s="226">
        <v>44389</v>
      </c>
      <c r="K7" s="226">
        <v>44651</v>
      </c>
      <c r="L7" s="227">
        <f t="shared" si="0"/>
        <v>37.428571428571431</v>
      </c>
      <c r="M7" s="192">
        <v>45107</v>
      </c>
      <c r="N7" s="227">
        <f t="shared" si="1"/>
        <v>65.142857142857139</v>
      </c>
      <c r="O7" s="229" t="str">
        <f t="shared" ca="1" si="2"/>
        <v>Alerta</v>
      </c>
      <c r="P7" s="230">
        <v>1</v>
      </c>
      <c r="Q7" s="190">
        <f t="shared" si="4"/>
        <v>1</v>
      </c>
      <c r="R7" s="222"/>
      <c r="S7" s="222"/>
      <c r="T7" s="222"/>
      <c r="U7" s="191" t="str">
        <f t="shared" si="3"/>
        <v>Incumple</v>
      </c>
      <c r="V7" s="644" t="s">
        <v>2177</v>
      </c>
      <c r="W7" s="647" t="s">
        <v>2178</v>
      </c>
      <c r="X7" s="647"/>
      <c r="Y7" s="651" t="s">
        <v>2175</v>
      </c>
    </row>
    <row r="8" spans="1:25" ht="243.95" customHeight="1">
      <c r="A8" s="221">
        <v>3</v>
      </c>
      <c r="B8" s="222" t="s">
        <v>1980</v>
      </c>
      <c r="C8" s="222" t="s">
        <v>2155</v>
      </c>
      <c r="D8" s="223" t="s">
        <v>2179</v>
      </c>
      <c r="E8" s="223" t="s">
        <v>2180</v>
      </c>
      <c r="F8" s="230" t="s">
        <v>2181</v>
      </c>
      <c r="G8" s="230" t="s">
        <v>2182</v>
      </c>
      <c r="H8" s="231" t="s">
        <v>2183</v>
      </c>
      <c r="I8" s="232">
        <v>1</v>
      </c>
      <c r="J8" s="226">
        <v>44389</v>
      </c>
      <c r="K8" s="226">
        <v>44747</v>
      </c>
      <c r="L8" s="227">
        <f t="shared" si="0"/>
        <v>51.142857142857146</v>
      </c>
      <c r="M8" s="192">
        <v>45107</v>
      </c>
      <c r="N8" s="227">
        <f t="shared" si="1"/>
        <v>51.428571428571431</v>
      </c>
      <c r="O8" s="229" t="str">
        <f t="shared" ca="1" si="2"/>
        <v>Alerta</v>
      </c>
      <c r="P8" s="190">
        <v>1</v>
      </c>
      <c r="Q8" s="190">
        <f t="shared" si="4"/>
        <v>1</v>
      </c>
      <c r="R8" s="222"/>
      <c r="S8" s="222"/>
      <c r="T8" s="222"/>
      <c r="U8" s="191" t="str">
        <f t="shared" si="3"/>
        <v>Incumple</v>
      </c>
      <c r="V8" s="645" t="s">
        <v>2184</v>
      </c>
      <c r="W8" s="647" t="s">
        <v>2185</v>
      </c>
      <c r="X8" s="647"/>
      <c r="Y8" s="651" t="s">
        <v>2186</v>
      </c>
    </row>
    <row r="9" spans="1:25" ht="284.45" customHeight="1">
      <c r="A9" s="221">
        <v>4</v>
      </c>
      <c r="B9" s="222" t="s">
        <v>1980</v>
      </c>
      <c r="C9" s="222" t="s">
        <v>2155</v>
      </c>
      <c r="D9" s="223" t="s">
        <v>2187</v>
      </c>
      <c r="E9" s="223" t="s">
        <v>2188</v>
      </c>
      <c r="F9" s="230" t="s">
        <v>2189</v>
      </c>
      <c r="G9" s="230" t="s">
        <v>2190</v>
      </c>
      <c r="H9" s="230" t="s">
        <v>2191</v>
      </c>
      <c r="I9" s="225">
        <v>1</v>
      </c>
      <c r="J9" s="226">
        <v>44389</v>
      </c>
      <c r="K9" s="226">
        <v>44717</v>
      </c>
      <c r="L9" s="227">
        <f t="shared" si="0"/>
        <v>46.857142857142854</v>
      </c>
      <c r="M9" s="192">
        <v>44923</v>
      </c>
      <c r="N9" s="227">
        <f t="shared" si="1"/>
        <v>29.428571428571427</v>
      </c>
      <c r="O9" s="229" t="str">
        <f t="shared" ca="1" si="2"/>
        <v>Alerta</v>
      </c>
      <c r="P9" s="230">
        <v>1</v>
      </c>
      <c r="Q9" s="190">
        <f t="shared" si="4"/>
        <v>1</v>
      </c>
      <c r="R9" s="222"/>
      <c r="S9" s="222"/>
      <c r="T9" s="222"/>
      <c r="U9" s="191" t="str">
        <f t="shared" si="3"/>
        <v>Incumple</v>
      </c>
      <c r="V9" s="645" t="s">
        <v>2192</v>
      </c>
      <c r="W9" s="647" t="s">
        <v>2193</v>
      </c>
      <c r="X9" s="647"/>
      <c r="Y9" s="651" t="s">
        <v>2194</v>
      </c>
    </row>
    <row r="10" spans="1:25" ht="159.75" customHeight="1">
      <c r="A10" s="221">
        <v>4</v>
      </c>
      <c r="B10" s="222" t="s">
        <v>1980</v>
      </c>
      <c r="C10" s="222" t="s">
        <v>2155</v>
      </c>
      <c r="D10" s="223" t="s">
        <v>2187</v>
      </c>
      <c r="E10" s="223" t="s">
        <v>2188</v>
      </c>
      <c r="F10" s="230" t="s">
        <v>2189</v>
      </c>
      <c r="G10" s="230" t="s">
        <v>2195</v>
      </c>
      <c r="H10" s="230" t="s">
        <v>2183</v>
      </c>
      <c r="I10" s="232">
        <v>1</v>
      </c>
      <c r="J10" s="226">
        <v>44389</v>
      </c>
      <c r="K10" s="226">
        <v>44717</v>
      </c>
      <c r="L10" s="227">
        <f t="shared" si="0"/>
        <v>46.857142857142854</v>
      </c>
      <c r="M10" s="192">
        <v>44925</v>
      </c>
      <c r="N10" s="227">
        <f t="shared" si="1"/>
        <v>29.714285714285715</v>
      </c>
      <c r="O10" s="229" t="str">
        <f t="shared" ca="1" si="2"/>
        <v>Alerta</v>
      </c>
      <c r="P10" s="190">
        <v>1</v>
      </c>
      <c r="Q10" s="190">
        <f t="shared" si="4"/>
        <v>1</v>
      </c>
      <c r="R10" s="222"/>
      <c r="S10" s="222"/>
      <c r="T10" s="222"/>
      <c r="U10" s="191" t="str">
        <f t="shared" si="3"/>
        <v>Incumple</v>
      </c>
      <c r="V10" s="645" t="s">
        <v>2196</v>
      </c>
      <c r="W10" s="647" t="s">
        <v>2197</v>
      </c>
      <c r="X10" s="647"/>
      <c r="Y10" s="651" t="s">
        <v>2198</v>
      </c>
    </row>
    <row r="11" spans="1:25" ht="86.25">
      <c r="A11" s="221">
        <v>5</v>
      </c>
      <c r="B11" s="222" t="s">
        <v>1980</v>
      </c>
      <c r="C11" s="222" t="s">
        <v>2155</v>
      </c>
      <c r="D11" s="223" t="s">
        <v>2199</v>
      </c>
      <c r="E11" s="223" t="s">
        <v>2200</v>
      </c>
      <c r="F11" s="230" t="s">
        <v>2201</v>
      </c>
      <c r="G11" s="230" t="s">
        <v>2202</v>
      </c>
      <c r="H11" s="230" t="s">
        <v>2191</v>
      </c>
      <c r="I11" s="225">
        <v>1</v>
      </c>
      <c r="J11" s="226">
        <v>44389</v>
      </c>
      <c r="K11" s="226">
        <v>44717</v>
      </c>
      <c r="L11" s="227">
        <f t="shared" si="0"/>
        <v>46.857142857142854</v>
      </c>
      <c r="M11" s="192">
        <v>44923</v>
      </c>
      <c r="N11" s="227">
        <f t="shared" si="1"/>
        <v>29.428571428571427</v>
      </c>
      <c r="O11" s="229" t="str">
        <f t="shared" ca="1" si="2"/>
        <v>Alerta</v>
      </c>
      <c r="P11" s="230">
        <v>1</v>
      </c>
      <c r="Q11" s="190">
        <f t="shared" si="4"/>
        <v>1</v>
      </c>
      <c r="R11" s="222"/>
      <c r="S11" s="222"/>
      <c r="T11" s="222"/>
      <c r="U11" s="191" t="str">
        <f t="shared" si="3"/>
        <v>Incumple</v>
      </c>
      <c r="V11" s="645" t="s">
        <v>2203</v>
      </c>
      <c r="W11" s="647" t="s">
        <v>2204</v>
      </c>
      <c r="X11" s="647"/>
      <c r="Y11" s="651" t="s">
        <v>2194</v>
      </c>
    </row>
    <row r="12" spans="1:25" ht="159">
      <c r="A12" s="221">
        <v>5</v>
      </c>
      <c r="B12" s="222" t="s">
        <v>1980</v>
      </c>
      <c r="C12" s="222" t="s">
        <v>2155</v>
      </c>
      <c r="D12" s="223" t="s">
        <v>2199</v>
      </c>
      <c r="E12" s="223" t="s">
        <v>2200</v>
      </c>
      <c r="F12" s="230" t="s">
        <v>2201</v>
      </c>
      <c r="G12" s="230" t="s">
        <v>2205</v>
      </c>
      <c r="H12" s="230" t="s">
        <v>2183</v>
      </c>
      <c r="I12" s="232">
        <v>1</v>
      </c>
      <c r="J12" s="226">
        <v>44389</v>
      </c>
      <c r="K12" s="226">
        <v>44717</v>
      </c>
      <c r="L12" s="227">
        <f t="shared" si="0"/>
        <v>46.857142857142854</v>
      </c>
      <c r="M12" s="192">
        <v>45107</v>
      </c>
      <c r="N12" s="227">
        <f t="shared" si="1"/>
        <v>55.714285714285715</v>
      </c>
      <c r="O12" s="229" t="str">
        <f t="shared" ca="1" si="2"/>
        <v>Alerta</v>
      </c>
      <c r="P12" s="190">
        <v>1</v>
      </c>
      <c r="Q12" s="190">
        <f t="shared" si="4"/>
        <v>1</v>
      </c>
      <c r="R12" s="222"/>
      <c r="S12" s="222"/>
      <c r="T12" s="222"/>
      <c r="U12" s="191" t="str">
        <f t="shared" si="3"/>
        <v>Incumple</v>
      </c>
      <c r="V12" s="645" t="s">
        <v>2206</v>
      </c>
      <c r="W12" s="652" t="s">
        <v>2207</v>
      </c>
      <c r="X12" s="647"/>
      <c r="Y12" s="651" t="s">
        <v>2208</v>
      </c>
    </row>
    <row r="13" spans="1:25" ht="309" customHeight="1">
      <c r="A13" s="221">
        <v>6</v>
      </c>
      <c r="B13" s="222" t="s">
        <v>1980</v>
      </c>
      <c r="C13" s="222" t="s">
        <v>2155</v>
      </c>
      <c r="D13" s="223" t="s">
        <v>2209</v>
      </c>
      <c r="E13" s="223" t="s">
        <v>2210</v>
      </c>
      <c r="F13" s="230" t="s">
        <v>2211</v>
      </c>
      <c r="G13" s="230" t="s">
        <v>2212</v>
      </c>
      <c r="H13" s="230" t="s">
        <v>2213</v>
      </c>
      <c r="I13" s="225">
        <v>1</v>
      </c>
      <c r="J13" s="226">
        <v>44389</v>
      </c>
      <c r="K13" s="226">
        <v>44561</v>
      </c>
      <c r="L13" s="227">
        <f t="shared" si="0"/>
        <v>24.571428571428573</v>
      </c>
      <c r="M13" s="192">
        <v>44925</v>
      </c>
      <c r="N13" s="227">
        <f t="shared" si="1"/>
        <v>52</v>
      </c>
      <c r="O13" s="229" t="str">
        <f t="shared" ca="1" si="2"/>
        <v>Alerta</v>
      </c>
      <c r="P13" s="230">
        <v>1</v>
      </c>
      <c r="Q13" s="190">
        <f t="shared" si="4"/>
        <v>1</v>
      </c>
      <c r="R13" s="222"/>
      <c r="S13" s="222"/>
      <c r="T13" s="222"/>
      <c r="U13" s="191" t="str">
        <f t="shared" si="3"/>
        <v>Incumple</v>
      </c>
      <c r="V13" s="644"/>
      <c r="W13" s="647" t="s">
        <v>2214</v>
      </c>
      <c r="X13" s="647"/>
      <c r="Y13" s="651" t="s">
        <v>2215</v>
      </c>
    </row>
    <row r="14" spans="1:25" ht="305.25" customHeight="1">
      <c r="A14" s="221">
        <v>6</v>
      </c>
      <c r="B14" s="222" t="s">
        <v>1980</v>
      </c>
      <c r="C14" s="222" t="s">
        <v>2155</v>
      </c>
      <c r="D14" s="223" t="s">
        <v>2209</v>
      </c>
      <c r="E14" s="223" t="s">
        <v>2210</v>
      </c>
      <c r="F14" s="233" t="s">
        <v>2211</v>
      </c>
      <c r="G14" s="230" t="s">
        <v>2216</v>
      </c>
      <c r="H14" s="230" t="s">
        <v>2217</v>
      </c>
      <c r="I14" s="225">
        <v>1</v>
      </c>
      <c r="J14" s="226">
        <v>44389</v>
      </c>
      <c r="K14" s="226">
        <v>44561</v>
      </c>
      <c r="L14" s="227">
        <f t="shared" si="0"/>
        <v>24.571428571428573</v>
      </c>
      <c r="M14" s="192">
        <v>44925</v>
      </c>
      <c r="N14" s="227">
        <f t="shared" si="1"/>
        <v>52</v>
      </c>
      <c r="O14" s="229" t="str">
        <f t="shared" ca="1" si="2"/>
        <v>Alerta</v>
      </c>
      <c r="P14" s="230">
        <v>1</v>
      </c>
      <c r="Q14" s="190">
        <f t="shared" si="4"/>
        <v>1</v>
      </c>
      <c r="R14" s="222"/>
      <c r="S14" s="222"/>
      <c r="T14" s="222"/>
      <c r="U14" s="191" t="str">
        <f t="shared" si="3"/>
        <v>Incumple</v>
      </c>
      <c r="V14" s="644"/>
      <c r="W14" s="647" t="s">
        <v>2214</v>
      </c>
      <c r="X14" s="647"/>
      <c r="Y14" s="651" t="s">
        <v>2215</v>
      </c>
    </row>
    <row r="15" spans="1:25" ht="318" customHeight="1">
      <c r="A15" s="221">
        <v>6</v>
      </c>
      <c r="B15" s="222" t="s">
        <v>1980</v>
      </c>
      <c r="C15" s="222" t="s">
        <v>2155</v>
      </c>
      <c r="D15" s="223" t="s">
        <v>2209</v>
      </c>
      <c r="E15" s="223" t="s">
        <v>2210</v>
      </c>
      <c r="F15" s="230" t="s">
        <v>2211</v>
      </c>
      <c r="G15" s="230" t="s">
        <v>2218</v>
      </c>
      <c r="H15" s="230" t="s">
        <v>2219</v>
      </c>
      <c r="I15" s="225">
        <v>1</v>
      </c>
      <c r="J15" s="226">
        <v>44389</v>
      </c>
      <c r="K15" s="226">
        <v>44561</v>
      </c>
      <c r="L15" s="227">
        <f t="shared" si="0"/>
        <v>24.571428571428573</v>
      </c>
      <c r="M15" s="546">
        <v>45290</v>
      </c>
      <c r="N15" s="227">
        <f t="shared" si="1"/>
        <v>104.14285714285714</v>
      </c>
      <c r="O15" s="229" t="str">
        <f t="shared" ca="1" si="2"/>
        <v>Alerta</v>
      </c>
      <c r="P15" s="559">
        <v>0.33</v>
      </c>
      <c r="Q15" s="190">
        <f t="shared" si="4"/>
        <v>0.33</v>
      </c>
      <c r="R15" s="222"/>
      <c r="S15" s="222"/>
      <c r="T15" s="222"/>
      <c r="U15" s="191" t="str">
        <f t="shared" si="3"/>
        <v>Incumple</v>
      </c>
      <c r="V15" s="644" t="s">
        <v>2220</v>
      </c>
      <c r="W15" s="646" t="s">
        <v>2221</v>
      </c>
      <c r="X15" s="647"/>
      <c r="Y15" s="651" t="s">
        <v>2222</v>
      </c>
    </row>
    <row r="16" spans="1:25" ht="225.6" customHeight="1">
      <c r="A16" s="221">
        <v>7</v>
      </c>
      <c r="B16" s="222" t="s">
        <v>1980</v>
      </c>
      <c r="C16" s="222" t="s">
        <v>2155</v>
      </c>
      <c r="D16" s="223" t="s">
        <v>2223</v>
      </c>
      <c r="E16" s="223" t="s">
        <v>2224</v>
      </c>
      <c r="F16" s="230" t="s">
        <v>2225</v>
      </c>
      <c r="G16" s="230" t="s">
        <v>2226</v>
      </c>
      <c r="H16" s="230" t="s">
        <v>2227</v>
      </c>
      <c r="I16" s="225">
        <v>1</v>
      </c>
      <c r="J16" s="226">
        <v>44389</v>
      </c>
      <c r="K16" s="226">
        <v>44747</v>
      </c>
      <c r="L16" s="227">
        <f t="shared" si="0"/>
        <v>51.142857142857146</v>
      </c>
      <c r="M16" s="192">
        <v>44925</v>
      </c>
      <c r="N16" s="227">
        <f t="shared" si="1"/>
        <v>25.428571428571427</v>
      </c>
      <c r="O16" s="229" t="str">
        <f t="shared" ca="1" si="2"/>
        <v>Alerta</v>
      </c>
      <c r="P16" s="230">
        <v>1</v>
      </c>
      <c r="Q16" s="190">
        <f t="shared" si="4"/>
        <v>1</v>
      </c>
      <c r="R16" s="222"/>
      <c r="S16" s="222"/>
      <c r="T16" s="222"/>
      <c r="U16" s="191" t="str">
        <f t="shared" si="3"/>
        <v>Incumple</v>
      </c>
      <c r="V16" s="644" t="s">
        <v>2228</v>
      </c>
      <c r="W16" s="647" t="s">
        <v>2229</v>
      </c>
      <c r="X16" s="647"/>
      <c r="Y16" s="651" t="s">
        <v>2230</v>
      </c>
    </row>
    <row r="17" spans="1:25" ht="312.95" customHeight="1">
      <c r="A17" s="221">
        <v>7</v>
      </c>
      <c r="B17" s="222" t="s">
        <v>1980</v>
      </c>
      <c r="C17" s="222" t="s">
        <v>2155</v>
      </c>
      <c r="D17" s="223" t="s">
        <v>2223</v>
      </c>
      <c r="E17" s="223" t="s">
        <v>2224</v>
      </c>
      <c r="F17" s="230" t="s">
        <v>2231</v>
      </c>
      <c r="G17" s="230" t="s">
        <v>2232</v>
      </c>
      <c r="H17" s="230" t="s">
        <v>2233</v>
      </c>
      <c r="I17" s="232">
        <v>1</v>
      </c>
      <c r="J17" s="226">
        <v>44389</v>
      </c>
      <c r="K17" s="226">
        <v>44747</v>
      </c>
      <c r="L17" s="227">
        <f t="shared" si="0"/>
        <v>51.142857142857146</v>
      </c>
      <c r="M17" s="546">
        <v>45247</v>
      </c>
      <c r="N17" s="227">
        <f t="shared" si="1"/>
        <v>71.428571428571431</v>
      </c>
      <c r="O17" s="229" t="str">
        <f t="shared" ca="1" si="2"/>
        <v>Alerta</v>
      </c>
      <c r="P17" s="190">
        <v>0.95</v>
      </c>
      <c r="Q17" s="190">
        <f t="shared" si="4"/>
        <v>0.95</v>
      </c>
      <c r="R17" s="222"/>
      <c r="S17" s="222"/>
      <c r="T17" s="222"/>
      <c r="U17" s="191" t="str">
        <f t="shared" si="3"/>
        <v>Incumple</v>
      </c>
      <c r="V17" s="572" t="s">
        <v>2234</v>
      </c>
      <c r="W17" s="646" t="s">
        <v>2235</v>
      </c>
      <c r="X17" s="647"/>
      <c r="Y17" s="651" t="s">
        <v>2236</v>
      </c>
    </row>
    <row r="18" spans="1:25" ht="289.5" customHeight="1">
      <c r="A18" s="221">
        <v>7</v>
      </c>
      <c r="B18" s="222" t="s">
        <v>1980</v>
      </c>
      <c r="C18" s="222" t="s">
        <v>2155</v>
      </c>
      <c r="D18" s="223" t="s">
        <v>2223</v>
      </c>
      <c r="E18" s="223" t="s">
        <v>2224</v>
      </c>
      <c r="F18" s="230" t="s">
        <v>2231</v>
      </c>
      <c r="G18" s="230" t="s">
        <v>2237</v>
      </c>
      <c r="H18" s="230" t="s">
        <v>2238</v>
      </c>
      <c r="I18" s="232">
        <v>1</v>
      </c>
      <c r="J18" s="226">
        <v>44389</v>
      </c>
      <c r="K18" s="226">
        <v>44747</v>
      </c>
      <c r="L18" s="227">
        <f t="shared" si="0"/>
        <v>51.142857142857146</v>
      </c>
      <c r="M18" s="192">
        <v>45107</v>
      </c>
      <c r="N18" s="227">
        <f t="shared" si="1"/>
        <v>51.428571428571431</v>
      </c>
      <c r="O18" s="229" t="str">
        <f t="shared" ca="1" si="2"/>
        <v>Alerta</v>
      </c>
      <c r="P18" s="190">
        <v>1</v>
      </c>
      <c r="Q18" s="190">
        <f t="shared" si="4"/>
        <v>1</v>
      </c>
      <c r="R18" s="222"/>
      <c r="S18" s="222"/>
      <c r="T18" s="222"/>
      <c r="U18" s="191" t="str">
        <f t="shared" si="3"/>
        <v>Incumple</v>
      </c>
      <c r="V18" s="644" t="s">
        <v>2177</v>
      </c>
      <c r="W18" s="647" t="s">
        <v>2239</v>
      </c>
      <c r="X18" s="647"/>
      <c r="Y18" s="651" t="s">
        <v>2236</v>
      </c>
    </row>
    <row r="19" spans="1:25" ht="255.95" customHeight="1">
      <c r="A19" s="221">
        <v>8</v>
      </c>
      <c r="B19" s="222" t="s">
        <v>1980</v>
      </c>
      <c r="C19" s="222" t="s">
        <v>2155</v>
      </c>
      <c r="D19" s="223" t="s">
        <v>2240</v>
      </c>
      <c r="E19" s="223" t="s">
        <v>2241</v>
      </c>
      <c r="F19" s="230" t="s">
        <v>2242</v>
      </c>
      <c r="G19" s="230" t="s">
        <v>2243</v>
      </c>
      <c r="H19" s="231" t="s">
        <v>1351</v>
      </c>
      <c r="I19" s="225">
        <v>2</v>
      </c>
      <c r="J19" s="226">
        <v>44389</v>
      </c>
      <c r="K19" s="228">
        <v>44530</v>
      </c>
      <c r="L19" s="227">
        <f t="shared" si="0"/>
        <v>20.142857142857142</v>
      </c>
      <c r="M19" s="228">
        <v>44560</v>
      </c>
      <c r="N19" s="227">
        <f t="shared" si="1"/>
        <v>4.2857142857142856</v>
      </c>
      <c r="O19" s="229" t="str">
        <f t="shared" ca="1" si="2"/>
        <v>Alerta</v>
      </c>
      <c r="P19" s="230">
        <v>2</v>
      </c>
      <c r="Q19" s="190">
        <f t="shared" si="4"/>
        <v>1</v>
      </c>
      <c r="R19" s="222"/>
      <c r="S19" s="222"/>
      <c r="T19" s="222"/>
      <c r="U19" s="191" t="str">
        <f t="shared" si="3"/>
        <v>Incumple</v>
      </c>
      <c r="V19" s="644" t="s">
        <v>2244</v>
      </c>
      <c r="W19" s="647" t="s">
        <v>2245</v>
      </c>
      <c r="X19" s="647"/>
      <c r="Y19" s="651" t="s">
        <v>2246</v>
      </c>
    </row>
    <row r="20" spans="1:25" ht="335.45" customHeight="1">
      <c r="A20" s="221">
        <v>9</v>
      </c>
      <c r="B20" s="222" t="s">
        <v>1980</v>
      </c>
      <c r="C20" s="222" t="s">
        <v>2155</v>
      </c>
      <c r="D20" s="223" t="s">
        <v>2247</v>
      </c>
      <c r="E20" s="223" t="s">
        <v>2248</v>
      </c>
      <c r="F20" s="230" t="s">
        <v>2249</v>
      </c>
      <c r="G20" s="230" t="s">
        <v>2250</v>
      </c>
      <c r="H20" s="230" t="s">
        <v>2251</v>
      </c>
      <c r="I20" s="232">
        <v>1</v>
      </c>
      <c r="J20" s="226">
        <v>44389</v>
      </c>
      <c r="K20" s="192">
        <v>44423</v>
      </c>
      <c r="L20" s="227">
        <f t="shared" si="0"/>
        <v>4.8571428571428568</v>
      </c>
      <c r="M20" s="192">
        <v>44925</v>
      </c>
      <c r="N20" s="227">
        <f t="shared" si="1"/>
        <v>71.714285714285708</v>
      </c>
      <c r="O20" s="229" t="str">
        <f t="shared" ca="1" si="2"/>
        <v>Alerta</v>
      </c>
      <c r="P20" s="190">
        <v>1</v>
      </c>
      <c r="Q20" s="190">
        <f t="shared" si="4"/>
        <v>1</v>
      </c>
      <c r="R20" s="222"/>
      <c r="S20" s="222"/>
      <c r="T20" s="222"/>
      <c r="U20" s="191" t="str">
        <f t="shared" si="3"/>
        <v>Incumple</v>
      </c>
      <c r="V20" s="644" t="s">
        <v>2252</v>
      </c>
      <c r="W20" s="647" t="s">
        <v>2253</v>
      </c>
      <c r="X20" s="647"/>
      <c r="Y20" s="651" t="s">
        <v>2254</v>
      </c>
    </row>
    <row r="21" spans="1:25" ht="375.6" customHeight="1">
      <c r="A21" s="221">
        <v>9</v>
      </c>
      <c r="B21" s="222" t="s">
        <v>1980</v>
      </c>
      <c r="C21" s="222" t="s">
        <v>2155</v>
      </c>
      <c r="D21" s="223" t="s">
        <v>2247</v>
      </c>
      <c r="E21" s="223" t="s">
        <v>2248</v>
      </c>
      <c r="F21" s="230" t="s">
        <v>2249</v>
      </c>
      <c r="G21" s="230" t="s">
        <v>2250</v>
      </c>
      <c r="H21" s="230" t="s">
        <v>2255</v>
      </c>
      <c r="I21" s="232">
        <v>1</v>
      </c>
      <c r="J21" s="226">
        <v>44389</v>
      </c>
      <c r="K21" s="192">
        <v>44560</v>
      </c>
      <c r="L21" s="227">
        <f t="shared" si="0"/>
        <v>24.428571428571427</v>
      </c>
      <c r="M21" s="192">
        <v>44925</v>
      </c>
      <c r="N21" s="227">
        <f t="shared" si="1"/>
        <v>52.142857142857146</v>
      </c>
      <c r="O21" s="229" t="str">
        <f t="shared" ca="1" si="2"/>
        <v>Alerta</v>
      </c>
      <c r="P21" s="190">
        <v>1</v>
      </c>
      <c r="Q21" s="190">
        <f t="shared" si="4"/>
        <v>1</v>
      </c>
      <c r="R21" s="222"/>
      <c r="S21" s="222"/>
      <c r="T21" s="222"/>
      <c r="U21" s="191" t="str">
        <f t="shared" si="3"/>
        <v>Incumple</v>
      </c>
      <c r="V21" s="644" t="s">
        <v>2252</v>
      </c>
      <c r="W21" s="647" t="s">
        <v>2256</v>
      </c>
      <c r="X21" s="647"/>
      <c r="Y21" s="651" t="s">
        <v>2254</v>
      </c>
    </row>
    <row r="22" spans="1:25" ht="115.5">
      <c r="A22" s="221">
        <v>10</v>
      </c>
      <c r="B22" s="222" t="s">
        <v>1980</v>
      </c>
      <c r="C22" s="222" t="s">
        <v>2155</v>
      </c>
      <c r="D22" s="223" t="s">
        <v>2257</v>
      </c>
      <c r="E22" s="223" t="s">
        <v>2258</v>
      </c>
      <c r="F22" s="230" t="s">
        <v>2259</v>
      </c>
      <c r="G22" s="230" t="s">
        <v>2260</v>
      </c>
      <c r="H22" s="230" t="s">
        <v>2261</v>
      </c>
      <c r="I22" s="225">
        <v>1</v>
      </c>
      <c r="J22" s="226">
        <v>44389</v>
      </c>
      <c r="K22" s="192">
        <v>44407</v>
      </c>
      <c r="L22" s="227">
        <f t="shared" si="0"/>
        <v>2.5714285714285716</v>
      </c>
      <c r="M22" s="192">
        <v>45107</v>
      </c>
      <c r="N22" s="227">
        <f t="shared" si="1"/>
        <v>100</v>
      </c>
      <c r="O22" s="229" t="str">
        <f t="shared" ca="1" si="2"/>
        <v>Alerta</v>
      </c>
      <c r="P22" s="230">
        <v>1</v>
      </c>
      <c r="Q22" s="190">
        <f t="shared" si="4"/>
        <v>1</v>
      </c>
      <c r="R22" s="222"/>
      <c r="S22" s="222"/>
      <c r="T22" s="222"/>
      <c r="U22" s="191" t="str">
        <f t="shared" si="3"/>
        <v>Incumple</v>
      </c>
      <c r="V22" s="644" t="s">
        <v>2262</v>
      </c>
      <c r="W22" s="653" t="s">
        <v>2263</v>
      </c>
      <c r="X22" s="654">
        <f ca="1">TODAY()</f>
        <v>45345</v>
      </c>
      <c r="Y22" s="651" t="s">
        <v>2264</v>
      </c>
    </row>
    <row r="23" spans="1:25" ht="151.5" customHeight="1">
      <c r="A23" s="221">
        <v>10</v>
      </c>
      <c r="B23" s="222" t="s">
        <v>1980</v>
      </c>
      <c r="C23" s="222" t="s">
        <v>2155</v>
      </c>
      <c r="D23" s="223" t="s">
        <v>2257</v>
      </c>
      <c r="E23" s="223" t="s">
        <v>2265</v>
      </c>
      <c r="F23" s="230" t="s">
        <v>2259</v>
      </c>
      <c r="G23" s="230" t="s">
        <v>2266</v>
      </c>
      <c r="H23" s="230" t="s">
        <v>2267</v>
      </c>
      <c r="I23" s="225">
        <v>2</v>
      </c>
      <c r="J23" s="226">
        <v>44389</v>
      </c>
      <c r="K23" s="192">
        <v>44747</v>
      </c>
      <c r="L23" s="227">
        <f t="shared" si="0"/>
        <v>51.142857142857146</v>
      </c>
      <c r="M23" s="192">
        <v>45107</v>
      </c>
      <c r="N23" s="227">
        <f t="shared" si="1"/>
        <v>51.428571428571431</v>
      </c>
      <c r="O23" s="229" t="str">
        <f t="shared" ca="1" si="2"/>
        <v>Alerta</v>
      </c>
      <c r="P23" s="230">
        <v>2</v>
      </c>
      <c r="Q23" s="190">
        <f t="shared" si="4"/>
        <v>1</v>
      </c>
      <c r="R23" s="222"/>
      <c r="S23" s="222"/>
      <c r="T23" s="222"/>
      <c r="U23" s="191" t="str">
        <f t="shared" si="3"/>
        <v>Incumple</v>
      </c>
      <c r="V23" s="644" t="s">
        <v>2268</v>
      </c>
      <c r="W23" s="647" t="s">
        <v>2269</v>
      </c>
      <c r="X23" s="647"/>
      <c r="Y23" s="651" t="s">
        <v>2264</v>
      </c>
    </row>
    <row r="24" spans="1:25" ht="353.1" customHeight="1">
      <c r="A24" s="221">
        <v>10</v>
      </c>
      <c r="B24" s="222" t="s">
        <v>1980</v>
      </c>
      <c r="C24" s="222" t="s">
        <v>2155</v>
      </c>
      <c r="D24" s="223" t="s">
        <v>2257</v>
      </c>
      <c r="E24" s="223" t="s">
        <v>2265</v>
      </c>
      <c r="F24" s="230" t="s">
        <v>2259</v>
      </c>
      <c r="G24" s="230" t="s">
        <v>2270</v>
      </c>
      <c r="H24" s="230" t="s">
        <v>2267</v>
      </c>
      <c r="I24" s="225">
        <v>2</v>
      </c>
      <c r="J24" s="226">
        <v>44389</v>
      </c>
      <c r="K24" s="192">
        <v>44747</v>
      </c>
      <c r="L24" s="227">
        <f t="shared" si="0"/>
        <v>51.142857142857146</v>
      </c>
      <c r="M24" s="192">
        <v>45107</v>
      </c>
      <c r="N24" s="227">
        <f t="shared" si="1"/>
        <v>51.428571428571431</v>
      </c>
      <c r="O24" s="229" t="str">
        <f t="shared" ca="1" si="2"/>
        <v>Alerta</v>
      </c>
      <c r="P24" s="230">
        <v>2</v>
      </c>
      <c r="Q24" s="190">
        <f t="shared" si="4"/>
        <v>1</v>
      </c>
      <c r="R24" s="222"/>
      <c r="S24" s="222"/>
      <c r="T24" s="222"/>
      <c r="U24" s="191" t="str">
        <f t="shared" si="3"/>
        <v>Incumple</v>
      </c>
      <c r="V24" s="644" t="s">
        <v>2268</v>
      </c>
      <c r="W24" s="647" t="s">
        <v>2271</v>
      </c>
      <c r="X24" s="647"/>
      <c r="Y24" s="651" t="s">
        <v>2264</v>
      </c>
    </row>
    <row r="25" spans="1:25" ht="327" customHeight="1">
      <c r="A25" s="221">
        <v>11</v>
      </c>
      <c r="B25" s="222" t="s">
        <v>1980</v>
      </c>
      <c r="C25" s="222" t="s">
        <v>2155</v>
      </c>
      <c r="D25" s="223" t="s">
        <v>2272</v>
      </c>
      <c r="E25" s="223" t="s">
        <v>2273</v>
      </c>
      <c r="F25" s="230" t="s">
        <v>2274</v>
      </c>
      <c r="G25" s="230" t="s">
        <v>2275</v>
      </c>
      <c r="H25" s="230" t="s">
        <v>2276</v>
      </c>
      <c r="I25" s="225">
        <v>4</v>
      </c>
      <c r="J25" s="226">
        <v>44389</v>
      </c>
      <c r="K25" s="226">
        <v>44561</v>
      </c>
      <c r="L25" s="227">
        <f t="shared" si="0"/>
        <v>24.571428571428573</v>
      </c>
      <c r="M25" s="228">
        <v>44560</v>
      </c>
      <c r="N25" s="227">
        <f t="shared" si="1"/>
        <v>-0.14285714285714285</v>
      </c>
      <c r="O25" s="229" t="str">
        <f t="shared" ca="1" si="2"/>
        <v>Alerta</v>
      </c>
      <c r="P25" s="230">
        <v>4</v>
      </c>
      <c r="Q25" s="190">
        <f t="shared" si="4"/>
        <v>1</v>
      </c>
      <c r="R25" s="222"/>
      <c r="S25" s="222"/>
      <c r="T25" s="222"/>
      <c r="U25" s="191" t="str">
        <f t="shared" si="3"/>
        <v>Cumple</v>
      </c>
      <c r="V25" s="644" t="s">
        <v>2277</v>
      </c>
      <c r="W25" s="647" t="s">
        <v>2278</v>
      </c>
      <c r="X25" s="647"/>
      <c r="Y25" s="651" t="s">
        <v>2279</v>
      </c>
    </row>
    <row r="26" spans="1:25" ht="318" customHeight="1">
      <c r="A26" s="221">
        <v>11</v>
      </c>
      <c r="B26" s="222" t="s">
        <v>1980</v>
      </c>
      <c r="C26" s="222" t="s">
        <v>2155</v>
      </c>
      <c r="D26" s="223" t="s">
        <v>2272</v>
      </c>
      <c r="E26" s="223" t="s">
        <v>2273</v>
      </c>
      <c r="F26" s="230" t="s">
        <v>2274</v>
      </c>
      <c r="G26" s="230" t="s">
        <v>2280</v>
      </c>
      <c r="H26" s="230" t="s">
        <v>2281</v>
      </c>
      <c r="I26" s="225">
        <v>1</v>
      </c>
      <c r="J26" s="226">
        <v>44389</v>
      </c>
      <c r="K26" s="228">
        <v>44561</v>
      </c>
      <c r="L26" s="227">
        <f t="shared" si="0"/>
        <v>24.571428571428573</v>
      </c>
      <c r="M26" s="228">
        <v>44560</v>
      </c>
      <c r="N26" s="227">
        <f t="shared" si="1"/>
        <v>-0.14285714285714285</v>
      </c>
      <c r="O26" s="229" t="str">
        <f t="shared" ca="1" si="2"/>
        <v>Alerta</v>
      </c>
      <c r="P26" s="230">
        <v>1</v>
      </c>
      <c r="Q26" s="190">
        <f t="shared" si="4"/>
        <v>1</v>
      </c>
      <c r="R26" s="222"/>
      <c r="S26" s="222"/>
      <c r="T26" s="222"/>
      <c r="U26" s="191" t="str">
        <f t="shared" si="3"/>
        <v>Cumple</v>
      </c>
      <c r="V26" s="644" t="s">
        <v>2282</v>
      </c>
      <c r="W26" s="647" t="s">
        <v>2283</v>
      </c>
      <c r="X26" s="647"/>
      <c r="Y26" s="651" t="s">
        <v>2284</v>
      </c>
    </row>
    <row r="27" spans="1:25" ht="153.75" customHeight="1">
      <c r="A27" s="800">
        <v>12</v>
      </c>
      <c r="B27" s="801" t="s">
        <v>1980</v>
      </c>
      <c r="C27" s="801" t="s">
        <v>2155</v>
      </c>
      <c r="D27" s="802" t="s">
        <v>2285</v>
      </c>
      <c r="E27" s="803" t="s">
        <v>2286</v>
      </c>
      <c r="F27" s="803" t="s">
        <v>2287</v>
      </c>
      <c r="G27" s="163" t="s">
        <v>2288</v>
      </c>
      <c r="H27" s="196" t="s">
        <v>2289</v>
      </c>
      <c r="I27" s="197">
        <v>1</v>
      </c>
      <c r="J27" s="195">
        <v>44784</v>
      </c>
      <c r="K27" s="195">
        <v>44888</v>
      </c>
      <c r="L27" s="234">
        <v>2</v>
      </c>
      <c r="M27" s="192">
        <v>45107</v>
      </c>
      <c r="N27" s="227">
        <f t="shared" si="1"/>
        <v>31.285714285714285</v>
      </c>
      <c r="O27" s="199" t="s">
        <v>1642</v>
      </c>
      <c r="P27" s="163">
        <v>1</v>
      </c>
      <c r="Q27" s="190">
        <f t="shared" ref="Q27:Q32" si="5">IF(P27/I27=1,1,+P27/I27)</f>
        <v>1</v>
      </c>
      <c r="R27" s="222"/>
      <c r="S27" s="222"/>
      <c r="T27" s="222"/>
      <c r="U27" s="191" t="str">
        <f t="shared" si="3"/>
        <v>Incumple</v>
      </c>
      <c r="V27" s="655" t="s">
        <v>2290</v>
      </c>
      <c r="W27" s="647" t="s">
        <v>2291</v>
      </c>
      <c r="X27" s="647"/>
      <c r="Y27" s="651"/>
    </row>
    <row r="28" spans="1:25" ht="243" customHeight="1">
      <c r="A28" s="800"/>
      <c r="B28" s="801"/>
      <c r="C28" s="801"/>
      <c r="D28" s="802"/>
      <c r="E28" s="803"/>
      <c r="F28" s="803"/>
      <c r="G28" s="163" t="s">
        <v>2292</v>
      </c>
      <c r="H28" s="196" t="s">
        <v>2293</v>
      </c>
      <c r="I28" s="200">
        <v>1</v>
      </c>
      <c r="J28" s="195">
        <v>44815</v>
      </c>
      <c r="K28" s="195">
        <v>44910</v>
      </c>
      <c r="L28" s="234">
        <v>5</v>
      </c>
      <c r="M28" s="192">
        <v>45107</v>
      </c>
      <c r="N28" s="227">
        <f t="shared" si="1"/>
        <v>28.142857142857142</v>
      </c>
      <c r="O28" s="199" t="s">
        <v>2294</v>
      </c>
      <c r="P28" s="193">
        <v>1</v>
      </c>
      <c r="Q28" s="190">
        <f t="shared" si="5"/>
        <v>1</v>
      </c>
      <c r="R28" s="222"/>
      <c r="S28" s="222"/>
      <c r="T28" s="222"/>
      <c r="U28" s="191" t="str">
        <f t="shared" si="3"/>
        <v>Incumple</v>
      </c>
      <c r="V28" s="655" t="s">
        <v>2295</v>
      </c>
      <c r="W28" s="647" t="s">
        <v>2296</v>
      </c>
      <c r="X28" s="647"/>
      <c r="Y28" s="651"/>
    </row>
    <row r="29" spans="1:25" ht="145.5" customHeight="1">
      <c r="A29" s="800"/>
      <c r="B29" s="801"/>
      <c r="C29" s="801"/>
      <c r="D29" s="802"/>
      <c r="E29" s="803"/>
      <c r="F29" s="803"/>
      <c r="G29" s="163" t="s">
        <v>2297</v>
      </c>
      <c r="H29" s="196" t="s">
        <v>2298</v>
      </c>
      <c r="I29" s="197">
        <v>1</v>
      </c>
      <c r="J29" s="195">
        <v>44784</v>
      </c>
      <c r="K29" s="195">
        <v>45290</v>
      </c>
      <c r="L29" s="234">
        <v>33</v>
      </c>
      <c r="M29" s="192">
        <v>45260</v>
      </c>
      <c r="N29" s="227">
        <f t="shared" si="1"/>
        <v>-4.2857142857142856</v>
      </c>
      <c r="O29" s="199" t="s">
        <v>2294</v>
      </c>
      <c r="P29" s="163">
        <v>0.5</v>
      </c>
      <c r="Q29" s="190">
        <f t="shared" si="5"/>
        <v>0.5</v>
      </c>
      <c r="R29" s="222"/>
      <c r="S29" s="222"/>
      <c r="T29" s="222"/>
      <c r="U29" s="191" t="str">
        <f t="shared" si="3"/>
        <v>Cumple</v>
      </c>
      <c r="V29" s="655" t="s">
        <v>2299</v>
      </c>
      <c r="W29" s="647" t="s">
        <v>2300</v>
      </c>
      <c r="X29" s="647"/>
      <c r="Y29" s="651" t="s">
        <v>2301</v>
      </c>
    </row>
    <row r="30" spans="1:25" ht="135" customHeight="1">
      <c r="A30" s="800">
        <v>13</v>
      </c>
      <c r="B30" s="801" t="s">
        <v>1980</v>
      </c>
      <c r="C30" s="801" t="s">
        <v>2155</v>
      </c>
      <c r="D30" s="802" t="s">
        <v>2302</v>
      </c>
      <c r="E30" s="803" t="s">
        <v>2286</v>
      </c>
      <c r="F30" s="803" t="s">
        <v>2287</v>
      </c>
      <c r="G30" s="163" t="s">
        <v>2288</v>
      </c>
      <c r="H30" s="196" t="s">
        <v>2289</v>
      </c>
      <c r="I30" s="197">
        <v>1</v>
      </c>
      <c r="J30" s="195">
        <v>44784</v>
      </c>
      <c r="K30" s="195">
        <v>44888</v>
      </c>
      <c r="L30" s="234">
        <v>2</v>
      </c>
      <c r="M30" s="192">
        <v>45107</v>
      </c>
      <c r="N30" s="227">
        <f t="shared" si="1"/>
        <v>31.285714285714285</v>
      </c>
      <c r="O30" s="199" t="s">
        <v>1642</v>
      </c>
      <c r="P30" s="163">
        <v>1</v>
      </c>
      <c r="Q30" s="190">
        <f t="shared" si="5"/>
        <v>1</v>
      </c>
      <c r="R30" s="222"/>
      <c r="S30" s="222"/>
      <c r="T30" s="222"/>
      <c r="U30" s="191" t="str">
        <f t="shared" si="3"/>
        <v>Incumple</v>
      </c>
      <c r="V30" s="655" t="s">
        <v>2290</v>
      </c>
      <c r="W30" s="647" t="s">
        <v>2291</v>
      </c>
      <c r="X30" s="647"/>
      <c r="Y30" s="651"/>
    </row>
    <row r="31" spans="1:25" ht="242.25" customHeight="1">
      <c r="A31" s="800"/>
      <c r="B31" s="801"/>
      <c r="C31" s="801"/>
      <c r="D31" s="802"/>
      <c r="E31" s="803"/>
      <c r="F31" s="803"/>
      <c r="G31" s="163" t="s">
        <v>2292</v>
      </c>
      <c r="H31" s="196" t="s">
        <v>2293</v>
      </c>
      <c r="I31" s="200">
        <v>1</v>
      </c>
      <c r="J31" s="195">
        <v>44815</v>
      </c>
      <c r="K31" s="195">
        <v>44910</v>
      </c>
      <c r="L31" s="234">
        <v>5</v>
      </c>
      <c r="M31" s="192">
        <v>45107</v>
      </c>
      <c r="N31" s="227">
        <f t="shared" si="1"/>
        <v>28.142857142857142</v>
      </c>
      <c r="O31" s="199" t="s">
        <v>2294</v>
      </c>
      <c r="P31" s="193">
        <v>1</v>
      </c>
      <c r="Q31" s="190">
        <f t="shared" si="5"/>
        <v>1</v>
      </c>
      <c r="R31" s="222"/>
      <c r="S31" s="222"/>
      <c r="T31" s="222"/>
      <c r="U31" s="191" t="str">
        <f t="shared" si="3"/>
        <v>Incumple</v>
      </c>
      <c r="V31" s="655" t="s">
        <v>2295</v>
      </c>
      <c r="W31" s="647" t="s">
        <v>2296</v>
      </c>
      <c r="X31" s="647"/>
      <c r="Y31" s="651"/>
    </row>
    <row r="32" spans="1:25" ht="255.75" customHeight="1">
      <c r="A32" s="800"/>
      <c r="B32" s="801"/>
      <c r="C32" s="801"/>
      <c r="D32" s="802"/>
      <c r="E32" s="803"/>
      <c r="F32" s="803"/>
      <c r="G32" s="163" t="s">
        <v>2297</v>
      </c>
      <c r="H32" s="196" t="s">
        <v>2298</v>
      </c>
      <c r="I32" s="197">
        <v>1</v>
      </c>
      <c r="J32" s="195">
        <v>44784</v>
      </c>
      <c r="K32" s="159">
        <v>45290</v>
      </c>
      <c r="L32" s="234">
        <v>33</v>
      </c>
      <c r="M32" s="192">
        <v>45260</v>
      </c>
      <c r="N32" s="227">
        <f>(M32-K32)/7</f>
        <v>-4.2857142857142856</v>
      </c>
      <c r="O32" s="199" t="s">
        <v>2294</v>
      </c>
      <c r="P32" s="163">
        <v>0.5</v>
      </c>
      <c r="Q32" s="190">
        <f t="shared" si="5"/>
        <v>0.5</v>
      </c>
      <c r="R32" s="222"/>
      <c r="S32" s="222"/>
      <c r="T32" s="222"/>
      <c r="U32" s="191" t="str">
        <f t="shared" si="3"/>
        <v>Cumple</v>
      </c>
      <c r="V32" s="655" t="s">
        <v>2299</v>
      </c>
      <c r="W32" s="647" t="s">
        <v>2300</v>
      </c>
      <c r="X32" s="647"/>
      <c r="Y32" s="651" t="s">
        <v>2303</v>
      </c>
    </row>
    <row r="33" spans="1:25" ht="86.25" customHeight="1">
      <c r="A33" s="221">
        <v>14</v>
      </c>
      <c r="B33" s="222" t="s">
        <v>1980</v>
      </c>
      <c r="C33" s="222" t="s">
        <v>2155</v>
      </c>
      <c r="D33" s="223" t="s">
        <v>2304</v>
      </c>
      <c r="E33" s="223" t="s">
        <v>2305</v>
      </c>
      <c r="F33" s="230" t="s">
        <v>2306</v>
      </c>
      <c r="G33" s="230" t="s">
        <v>2307</v>
      </c>
      <c r="H33" s="230" t="s">
        <v>2308</v>
      </c>
      <c r="I33" s="225">
        <v>12</v>
      </c>
      <c r="J33" s="226">
        <v>44389</v>
      </c>
      <c r="K33" s="226">
        <v>44767</v>
      </c>
      <c r="L33" s="227">
        <f t="shared" si="0"/>
        <v>54</v>
      </c>
      <c r="M33" s="192">
        <v>44925</v>
      </c>
      <c r="N33" s="227">
        <f t="shared" si="1"/>
        <v>22.571428571428573</v>
      </c>
      <c r="O33" s="229" t="str">
        <f t="shared" ca="1" si="2"/>
        <v>Alerta</v>
      </c>
      <c r="P33" s="230">
        <v>12</v>
      </c>
      <c r="Q33" s="190">
        <f t="shared" si="4"/>
        <v>1</v>
      </c>
      <c r="R33" s="222"/>
      <c r="S33" s="222"/>
      <c r="T33" s="222"/>
      <c r="U33" s="191" t="str">
        <f t="shared" si="3"/>
        <v>Incumple</v>
      </c>
      <c r="V33" s="644" t="s">
        <v>2309</v>
      </c>
      <c r="W33" s="647" t="s">
        <v>2310</v>
      </c>
      <c r="X33" s="647"/>
      <c r="Y33" s="651" t="s">
        <v>2311</v>
      </c>
    </row>
    <row r="34" spans="1:25" ht="76.5" customHeight="1" thickBot="1">
      <c r="A34" s="64"/>
      <c r="B34" s="64"/>
      <c r="C34" s="64"/>
      <c r="D34" s="64"/>
      <c r="E34" s="64"/>
      <c r="F34" s="64"/>
      <c r="G34" s="64"/>
      <c r="H34" s="64"/>
      <c r="I34" s="64"/>
      <c r="J34" s="113"/>
      <c r="K34" s="113"/>
      <c r="L34" s="108"/>
      <c r="M34" s="109"/>
      <c r="N34" s="108"/>
      <c r="O34" s="108"/>
      <c r="P34" s="108"/>
      <c r="Q34" s="161">
        <f>AVERAGE(Q4:Q33)</f>
        <v>0.94266666666666665</v>
      </c>
      <c r="R34" s="108"/>
      <c r="S34" s="108"/>
      <c r="T34" s="108"/>
      <c r="U34" s="203">
        <f>(COUNTIF(U4:U33,"Cumple")*100%)/COUNTA(U4:U33)</f>
        <v>0.2</v>
      </c>
    </row>
  </sheetData>
  <mergeCells count="13">
    <mergeCell ref="F30:F32"/>
    <mergeCell ref="A30:A32"/>
    <mergeCell ref="B30:B32"/>
    <mergeCell ref="C30:C32"/>
    <mergeCell ref="D30:D32"/>
    <mergeCell ref="E30:E32"/>
    <mergeCell ref="A1:Y2"/>
    <mergeCell ref="A27:A29"/>
    <mergeCell ref="B27:B29"/>
    <mergeCell ref="C27:C29"/>
    <mergeCell ref="D27:D29"/>
    <mergeCell ref="E27:E29"/>
    <mergeCell ref="F27:F29"/>
  </mergeCells>
  <conditionalFormatting sqref="O4:O26 O33">
    <cfRule type="containsText" dxfId="78" priority="19" operator="containsText" text="Alerta">
      <formula>NOT(ISERROR(SEARCH("Alerta",O4)))</formula>
    </cfRule>
    <cfRule type="containsText" dxfId="77" priority="20" operator="containsText" text="En tiempo">
      <formula>NOT(ISERROR(SEARCH("En tiempo",O4)))</formula>
    </cfRule>
  </conditionalFormatting>
  <conditionalFormatting sqref="Q3">
    <cfRule type="cellIs" dxfId="76" priority="9" stopIfTrue="1" operator="between">
      <formula>0.9</formula>
      <formula>1</formula>
    </cfRule>
    <cfRule type="cellIs" dxfId="75" priority="10" stopIfTrue="1" operator="between">
      <formula>0.5</formula>
      <formula>0.89</formula>
    </cfRule>
    <cfRule type="cellIs" dxfId="74" priority="11" stopIfTrue="1" operator="between">
      <formula>0.2</formula>
      <formula>0.49</formula>
    </cfRule>
    <cfRule type="cellIs" dxfId="73" priority="12" stopIfTrue="1" operator="between">
      <formula>0</formula>
      <formula>0.19</formula>
    </cfRule>
  </conditionalFormatting>
  <conditionalFormatting sqref="Q4:Q34">
    <cfRule type="cellIs" dxfId="72" priority="1" stopIfTrue="1" operator="between">
      <formula>0.8</formula>
      <formula>1</formula>
    </cfRule>
    <cfRule type="cellIs" dxfId="71" priority="2" stopIfTrue="1" operator="between">
      <formula>0.5</formula>
      <formula>0.79</formula>
    </cfRule>
    <cfRule type="cellIs" dxfId="70" priority="3" stopIfTrue="1" operator="between">
      <formula>0.3</formula>
      <formula>0.49</formula>
    </cfRule>
    <cfRule type="cellIs" dxfId="69" priority="4" stopIfTrue="1" operator="between">
      <formula>0</formula>
      <formula>0.29</formula>
    </cfRule>
  </conditionalFormatting>
  <conditionalFormatting sqref="U4:U33">
    <cfRule type="containsText" dxfId="68" priority="17" operator="containsText" text="Incumple">
      <formula>NOT(ISERROR(SEARCH("Incumple",U4)))</formula>
    </cfRule>
    <cfRule type="containsText" dxfId="67" priority="18" operator="containsText" text="Cumple">
      <formula>NOT(ISERROR(SEARCH("Cumple",U4)))</formula>
    </cfRule>
  </conditionalFormatting>
  <conditionalFormatting sqref="U34">
    <cfRule type="cellIs" dxfId="66" priority="5" operator="between">
      <formula>0.19</formula>
      <formula>0</formula>
    </cfRule>
    <cfRule type="cellIs" dxfId="65" priority="6" operator="between">
      <formula>0.49</formula>
      <formula>0.2</formula>
    </cfRule>
    <cfRule type="cellIs" dxfId="64" priority="7" operator="between">
      <formula>0.89</formula>
      <formula>0.5</formula>
    </cfRule>
    <cfRule type="cellIs" dxfId="63" priority="8" operator="between">
      <formula>1</formula>
      <formula>0.9</formula>
    </cfRule>
  </conditionalFormatting>
  <dataValidations count="8">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4:H5" xr:uid="{00000000-0002-0000-0E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4:G5" xr:uid="{00000000-0002-0000-0E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4:E5" xr:uid="{00000000-0002-0000-0E00-000002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Y4:Y5" xr:uid="{00000000-0002-0000-0E00-000003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K4:K5" xr:uid="{00000000-0002-0000-0E00-000004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4:J26 J33" xr:uid="{00000000-0002-0000-0E00-000005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4:I26 I33" xr:uid="{00000000-0002-0000-0E00-000006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4:F5" xr:uid="{00000000-0002-0000-0E00-000007000000}">
      <formula1>0</formula1>
      <formula2>390</formula2>
    </dataValidation>
  </dataValidation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Y40"/>
  <sheetViews>
    <sheetView zoomScale="25" zoomScaleNormal="25" workbookViewId="0">
      <selection activeCell="D4" sqref="D4"/>
    </sheetView>
  </sheetViews>
  <sheetFormatPr defaultColWidth="11.42578125" defaultRowHeight="14.25"/>
  <cols>
    <col min="1" max="3" width="11.42578125" style="64"/>
    <col min="4" max="4" width="122.140625" style="64" customWidth="1"/>
    <col min="5" max="9" width="11.42578125" style="64" customWidth="1"/>
    <col min="10" max="10" width="18.140625" style="113" customWidth="1"/>
    <col min="11" max="11" width="19.42578125" style="113" customWidth="1"/>
    <col min="12" max="12" width="18.85546875" style="64" customWidth="1"/>
    <col min="13" max="13" width="21.85546875" style="113" customWidth="1"/>
    <col min="14" max="21" width="11.42578125" style="64" customWidth="1"/>
    <col min="22" max="22" width="101.5703125" style="64" customWidth="1"/>
    <col min="23" max="23" width="132.140625" style="64" customWidth="1"/>
    <col min="24" max="24" width="46.7109375" style="64" customWidth="1"/>
    <col min="25" max="27" width="11.42578125" style="64" customWidth="1"/>
    <col min="28" max="16384" width="11.42578125" style="64"/>
  </cols>
  <sheetData>
    <row r="1" spans="1:25" ht="15" thickBot="1">
      <c r="A1" s="806" t="s">
        <v>2312</v>
      </c>
      <c r="B1" s="806"/>
      <c r="C1" s="806"/>
      <c r="D1" s="806"/>
      <c r="E1" s="806"/>
      <c r="F1" s="806"/>
      <c r="G1" s="806"/>
      <c r="H1" s="806"/>
      <c r="I1" s="806"/>
      <c r="J1" s="806"/>
      <c r="K1" s="806"/>
      <c r="L1" s="806"/>
      <c r="M1" s="806"/>
      <c r="N1" s="806"/>
      <c r="O1" s="806"/>
      <c r="P1" s="806"/>
      <c r="Q1" s="806"/>
      <c r="R1" s="806"/>
      <c r="S1" s="806"/>
      <c r="T1" s="806"/>
      <c r="U1" s="806"/>
      <c r="V1" s="806"/>
      <c r="W1" s="806"/>
      <c r="X1" s="806"/>
      <c r="Y1" s="806"/>
    </row>
    <row r="2" spans="1:25" ht="15" thickBot="1">
      <c r="A2" s="806"/>
      <c r="B2" s="806"/>
      <c r="C2" s="806"/>
      <c r="D2" s="806"/>
      <c r="E2" s="806"/>
      <c r="F2" s="806"/>
      <c r="G2" s="806"/>
      <c r="H2" s="806"/>
      <c r="I2" s="806"/>
      <c r="J2" s="806"/>
      <c r="K2" s="806"/>
      <c r="L2" s="806"/>
      <c r="M2" s="806"/>
      <c r="N2" s="806"/>
      <c r="O2" s="806"/>
      <c r="P2" s="806"/>
      <c r="Q2" s="806"/>
      <c r="R2" s="806"/>
      <c r="S2" s="806"/>
      <c r="T2" s="806"/>
      <c r="U2" s="806"/>
      <c r="V2" s="806"/>
      <c r="W2" s="806"/>
      <c r="X2" s="806"/>
      <c r="Y2" s="806"/>
    </row>
    <row r="3" spans="1:25" ht="120.75" thickBot="1">
      <c r="A3" s="184"/>
      <c r="B3" s="185" t="s">
        <v>1966</v>
      </c>
      <c r="C3" s="185"/>
      <c r="D3" s="185" t="s">
        <v>1967</v>
      </c>
      <c r="E3" s="185" t="s">
        <v>1968</v>
      </c>
      <c r="F3" s="185" t="s">
        <v>1969</v>
      </c>
      <c r="G3" s="185" t="s">
        <v>26</v>
      </c>
      <c r="H3" s="185" t="s">
        <v>1970</v>
      </c>
      <c r="I3" s="185" t="s">
        <v>1971</v>
      </c>
      <c r="J3" s="186" t="s">
        <v>33</v>
      </c>
      <c r="K3" s="186" t="s">
        <v>34</v>
      </c>
      <c r="L3" s="185" t="s">
        <v>35</v>
      </c>
      <c r="M3" s="186" t="s">
        <v>36</v>
      </c>
      <c r="N3" s="185" t="s">
        <v>1972</v>
      </c>
      <c r="O3" s="185" t="s">
        <v>1973</v>
      </c>
      <c r="P3" s="185" t="s">
        <v>40</v>
      </c>
      <c r="Q3" s="185" t="s">
        <v>41</v>
      </c>
      <c r="R3" s="185" t="s">
        <v>1974</v>
      </c>
      <c r="S3" s="187" t="s">
        <v>1975</v>
      </c>
      <c r="T3" s="187" t="s">
        <v>1976</v>
      </c>
      <c r="U3" s="187" t="s">
        <v>43</v>
      </c>
      <c r="V3" s="187" t="s">
        <v>1977</v>
      </c>
      <c r="W3" s="187" t="s">
        <v>1978</v>
      </c>
      <c r="X3" s="187" t="s">
        <v>20</v>
      </c>
      <c r="Y3" s="187" t="s">
        <v>1979</v>
      </c>
    </row>
    <row r="4" spans="1:25" s="112" customFormat="1" ht="197.25" customHeight="1">
      <c r="A4" s="163">
        <v>1</v>
      </c>
      <c r="B4" s="188" t="s">
        <v>0</v>
      </c>
      <c r="C4" s="188" t="s">
        <v>2313</v>
      </c>
      <c r="D4" s="163" t="s">
        <v>2314</v>
      </c>
      <c r="E4" s="163" t="s">
        <v>2315</v>
      </c>
      <c r="F4" s="163" t="s">
        <v>2316</v>
      </c>
      <c r="G4" s="163" t="s">
        <v>2317</v>
      </c>
      <c r="H4" s="163" t="s">
        <v>2318</v>
      </c>
      <c r="I4" s="163">
        <v>1</v>
      </c>
      <c r="J4" s="159" t="s">
        <v>2319</v>
      </c>
      <c r="K4" s="159" t="s">
        <v>2320</v>
      </c>
      <c r="L4" s="189">
        <f t="shared" ref="L4:L39" si="0">(K4-J4)/7</f>
        <v>4.4285714285714288</v>
      </c>
      <c r="M4" s="159" t="s">
        <v>2321</v>
      </c>
      <c r="N4" s="163"/>
      <c r="O4" s="163"/>
      <c r="P4" s="655">
        <v>1</v>
      </c>
      <c r="Q4" s="190">
        <f>IF(P4/I4=1,1,+P4/I4)</f>
        <v>1</v>
      </c>
      <c r="R4" s="163"/>
      <c r="S4" s="163"/>
      <c r="T4" s="163"/>
      <c r="U4" s="191" t="str">
        <f>IF(M4&lt;=K4,"Cumple","Incumple")</f>
        <v>Incumple</v>
      </c>
      <c r="V4" s="269" t="s">
        <v>2322</v>
      </c>
      <c r="W4" s="269" t="s">
        <v>2323</v>
      </c>
      <c r="X4" s="163"/>
      <c r="Y4" s="163" t="s">
        <v>2324</v>
      </c>
    </row>
    <row r="5" spans="1:25" s="112" customFormat="1" ht="149.44999999999999" customHeight="1">
      <c r="A5" s="163">
        <v>1</v>
      </c>
      <c r="B5" s="188" t="s">
        <v>1980</v>
      </c>
      <c r="C5" s="188" t="s">
        <v>2313</v>
      </c>
      <c r="D5" s="163" t="s">
        <v>2325</v>
      </c>
      <c r="E5" s="163" t="s">
        <v>2315</v>
      </c>
      <c r="F5" s="163" t="s">
        <v>2316</v>
      </c>
      <c r="G5" s="163" t="s">
        <v>2326</v>
      </c>
      <c r="H5" s="163" t="s">
        <v>2327</v>
      </c>
      <c r="I5" s="163">
        <v>100</v>
      </c>
      <c r="J5" s="159" t="s">
        <v>2319</v>
      </c>
      <c r="K5" s="159" t="s">
        <v>2328</v>
      </c>
      <c r="L5" s="189">
        <f t="shared" si="0"/>
        <v>11.571428571428571</v>
      </c>
      <c r="M5" s="159" t="s">
        <v>2321</v>
      </c>
      <c r="N5" s="163"/>
      <c r="O5" s="163"/>
      <c r="P5" s="655">
        <v>100</v>
      </c>
      <c r="Q5" s="190">
        <f>IF(P5/I5=1,1,+P5/I5)</f>
        <v>1</v>
      </c>
      <c r="R5" s="163"/>
      <c r="S5" s="163"/>
      <c r="T5" s="163"/>
      <c r="U5" s="191" t="str">
        <f t="shared" ref="U5:U39" si="1">IF(M5&lt;=K5,"Cumple","Incumple")</f>
        <v>Incumple</v>
      </c>
      <c r="V5" s="269" t="s">
        <v>2329</v>
      </c>
      <c r="W5" s="269" t="s">
        <v>2330</v>
      </c>
      <c r="X5" s="163"/>
      <c r="Y5" s="163" t="s">
        <v>2331</v>
      </c>
    </row>
    <row r="6" spans="1:25" s="112" customFormat="1" ht="131.44999999999999" customHeight="1">
      <c r="A6" s="163">
        <v>1</v>
      </c>
      <c r="B6" s="188" t="s">
        <v>1980</v>
      </c>
      <c r="C6" s="188" t="s">
        <v>2313</v>
      </c>
      <c r="D6" s="163" t="s">
        <v>2325</v>
      </c>
      <c r="E6" s="163" t="s">
        <v>2315</v>
      </c>
      <c r="F6" s="163" t="s">
        <v>2316</v>
      </c>
      <c r="G6" s="163" t="s">
        <v>2332</v>
      </c>
      <c r="H6" s="163" t="s">
        <v>2333</v>
      </c>
      <c r="I6" s="163">
        <v>100</v>
      </c>
      <c r="J6" s="159" t="s">
        <v>2319</v>
      </c>
      <c r="K6" s="159" t="s">
        <v>2334</v>
      </c>
      <c r="L6" s="189">
        <f t="shared" si="0"/>
        <v>13.714285714285714</v>
      </c>
      <c r="M6" s="159" t="s">
        <v>2321</v>
      </c>
      <c r="N6" s="163"/>
      <c r="O6" s="163"/>
      <c r="P6" s="655">
        <v>100</v>
      </c>
      <c r="Q6" s="190">
        <f t="shared" ref="Q6:Q35" si="2">IF(P6/I6=1,1,+P6/I6)</f>
        <v>1</v>
      </c>
      <c r="R6" s="163"/>
      <c r="S6" s="163"/>
      <c r="T6" s="163"/>
      <c r="U6" s="191" t="str">
        <f t="shared" si="1"/>
        <v>Incumple</v>
      </c>
      <c r="V6" s="269" t="s">
        <v>2329</v>
      </c>
      <c r="W6" s="269" t="s">
        <v>2330</v>
      </c>
      <c r="X6" s="163"/>
      <c r="Y6" s="163" t="s">
        <v>2335</v>
      </c>
    </row>
    <row r="7" spans="1:25" s="112" customFormat="1" ht="181.5" customHeight="1">
      <c r="A7" s="163">
        <v>1</v>
      </c>
      <c r="B7" s="188" t="s">
        <v>1980</v>
      </c>
      <c r="C7" s="188" t="s">
        <v>2313</v>
      </c>
      <c r="D7" s="163" t="s">
        <v>2325</v>
      </c>
      <c r="E7" s="163" t="s">
        <v>2315</v>
      </c>
      <c r="F7" s="163" t="s">
        <v>2316</v>
      </c>
      <c r="G7" s="163" t="s">
        <v>2336</v>
      </c>
      <c r="H7" s="163" t="s">
        <v>2337</v>
      </c>
      <c r="I7" s="163">
        <v>2</v>
      </c>
      <c r="J7" s="159" t="s">
        <v>2319</v>
      </c>
      <c r="K7" s="159" t="s">
        <v>2338</v>
      </c>
      <c r="L7" s="189">
        <f t="shared" si="0"/>
        <v>51.571428571428569</v>
      </c>
      <c r="M7" s="546">
        <v>45224</v>
      </c>
      <c r="N7" s="163"/>
      <c r="O7" s="163"/>
      <c r="P7" s="655">
        <v>2</v>
      </c>
      <c r="Q7" s="190">
        <f t="shared" si="2"/>
        <v>1</v>
      </c>
      <c r="R7" s="163"/>
      <c r="S7" s="163"/>
      <c r="T7" s="163"/>
      <c r="U7" s="191" t="str">
        <f t="shared" si="1"/>
        <v>Cumple</v>
      </c>
      <c r="V7" s="269" t="s">
        <v>2339</v>
      </c>
      <c r="W7" s="657" t="s">
        <v>2340</v>
      </c>
      <c r="X7" s="163"/>
      <c r="Y7" s="163" t="s">
        <v>2331</v>
      </c>
    </row>
    <row r="8" spans="1:25" s="112" customFormat="1" ht="246" customHeight="1">
      <c r="A8" s="163">
        <v>1</v>
      </c>
      <c r="B8" s="188" t="s">
        <v>1980</v>
      </c>
      <c r="C8" s="188" t="s">
        <v>2313</v>
      </c>
      <c r="D8" s="163" t="s">
        <v>2341</v>
      </c>
      <c r="E8" s="163" t="s">
        <v>2342</v>
      </c>
      <c r="F8" s="163" t="s">
        <v>2343</v>
      </c>
      <c r="G8" s="163" t="s">
        <v>2344</v>
      </c>
      <c r="H8" s="163" t="s">
        <v>2345</v>
      </c>
      <c r="I8" s="163">
        <v>100</v>
      </c>
      <c r="J8" s="159" t="s">
        <v>2346</v>
      </c>
      <c r="K8" s="159" t="s">
        <v>2347</v>
      </c>
      <c r="L8" s="189">
        <f t="shared" si="0"/>
        <v>35.142857142857146</v>
      </c>
      <c r="M8" s="192">
        <v>45107</v>
      </c>
      <c r="N8" s="163"/>
      <c r="O8" s="163"/>
      <c r="P8" s="655">
        <v>100</v>
      </c>
      <c r="Q8" s="190">
        <f t="shared" si="2"/>
        <v>1</v>
      </c>
      <c r="R8" s="163"/>
      <c r="S8" s="163"/>
      <c r="T8" s="163"/>
      <c r="U8" s="191" t="str">
        <f t="shared" si="1"/>
        <v>Cumple</v>
      </c>
      <c r="V8" s="269" t="s">
        <v>2348</v>
      </c>
      <c r="W8" s="269" t="s">
        <v>2349</v>
      </c>
      <c r="X8" s="163"/>
      <c r="Y8" s="163" t="s">
        <v>2350</v>
      </c>
    </row>
    <row r="9" spans="1:25" s="112" customFormat="1" ht="320.25" customHeight="1">
      <c r="A9" s="163">
        <v>2</v>
      </c>
      <c r="B9" s="188" t="s">
        <v>1980</v>
      </c>
      <c r="C9" s="188" t="s">
        <v>2313</v>
      </c>
      <c r="D9" s="163" t="s">
        <v>2351</v>
      </c>
      <c r="E9" s="163" t="s">
        <v>2352</v>
      </c>
      <c r="F9" s="163" t="s">
        <v>2353</v>
      </c>
      <c r="G9" s="163" t="s">
        <v>2354</v>
      </c>
      <c r="H9" s="163" t="s">
        <v>2355</v>
      </c>
      <c r="I9" s="163">
        <v>1</v>
      </c>
      <c r="J9" s="159" t="s">
        <v>2319</v>
      </c>
      <c r="K9" s="159" t="s">
        <v>2338</v>
      </c>
      <c r="L9" s="189">
        <f t="shared" si="0"/>
        <v>51.571428571428569</v>
      </c>
      <c r="M9" s="546">
        <v>45247</v>
      </c>
      <c r="N9" s="163"/>
      <c r="O9" s="163"/>
      <c r="P9" s="655">
        <v>1</v>
      </c>
      <c r="Q9" s="190">
        <f t="shared" ref="Q9:Q10" si="3">IF(P9/I9=1,1,+P9/I9)</f>
        <v>1</v>
      </c>
      <c r="R9" s="163"/>
      <c r="S9" s="163"/>
      <c r="T9" s="163"/>
      <c r="U9" s="191" t="str">
        <f t="shared" si="1"/>
        <v>Cumple</v>
      </c>
      <c r="V9" s="573" t="s">
        <v>2356</v>
      </c>
      <c r="W9" s="269" t="s">
        <v>2357</v>
      </c>
      <c r="X9" s="163"/>
      <c r="Y9" s="163"/>
    </row>
    <row r="10" spans="1:25" s="112" customFormat="1" ht="124.5" customHeight="1">
      <c r="A10" s="163">
        <v>2</v>
      </c>
      <c r="B10" s="188" t="s">
        <v>1980</v>
      </c>
      <c r="C10" s="188" t="s">
        <v>2313</v>
      </c>
      <c r="D10" s="163" t="s">
        <v>2351</v>
      </c>
      <c r="E10" s="163" t="s">
        <v>2352</v>
      </c>
      <c r="F10" s="163" t="s">
        <v>2353</v>
      </c>
      <c r="G10" s="163" t="s">
        <v>2358</v>
      </c>
      <c r="H10" s="163" t="s">
        <v>2355</v>
      </c>
      <c r="I10" s="163">
        <v>1</v>
      </c>
      <c r="J10" s="159" t="s">
        <v>2319</v>
      </c>
      <c r="K10" s="159" t="s">
        <v>2338</v>
      </c>
      <c r="L10" s="189">
        <f t="shared" si="0"/>
        <v>51.571428571428569</v>
      </c>
      <c r="M10" s="546">
        <v>45271</v>
      </c>
      <c r="N10" s="163"/>
      <c r="O10" s="163"/>
      <c r="P10" s="655"/>
      <c r="Q10" s="190">
        <f t="shared" si="3"/>
        <v>0</v>
      </c>
      <c r="R10" s="163"/>
      <c r="S10" s="163"/>
      <c r="T10" s="163"/>
      <c r="U10" s="191" t="str">
        <f t="shared" si="1"/>
        <v>Cumple</v>
      </c>
      <c r="V10" s="269" t="s">
        <v>2359</v>
      </c>
      <c r="W10" s="573" t="s">
        <v>2360</v>
      </c>
      <c r="X10" s="163"/>
      <c r="Y10" s="163"/>
    </row>
    <row r="11" spans="1:25" s="112" customFormat="1" ht="141" customHeight="1">
      <c r="A11" s="163">
        <v>2</v>
      </c>
      <c r="B11" s="188" t="s">
        <v>1980</v>
      </c>
      <c r="C11" s="188" t="s">
        <v>2313</v>
      </c>
      <c r="D11" s="163" t="s">
        <v>2351</v>
      </c>
      <c r="E11" s="163" t="s">
        <v>2352</v>
      </c>
      <c r="F11" s="163" t="s">
        <v>2353</v>
      </c>
      <c r="G11" s="163" t="s">
        <v>2361</v>
      </c>
      <c r="H11" s="163" t="s">
        <v>2355</v>
      </c>
      <c r="I11" s="163">
        <v>1</v>
      </c>
      <c r="J11" s="159" t="s">
        <v>2319</v>
      </c>
      <c r="K11" s="159" t="s">
        <v>2338</v>
      </c>
      <c r="L11" s="189">
        <f t="shared" si="0"/>
        <v>51.571428571428569</v>
      </c>
      <c r="M11" s="546">
        <v>45247</v>
      </c>
      <c r="N11" s="163"/>
      <c r="O11" s="163"/>
      <c r="P11" s="658">
        <v>1</v>
      </c>
      <c r="Q11" s="190">
        <f t="shared" si="2"/>
        <v>1</v>
      </c>
      <c r="R11" s="163"/>
      <c r="S11" s="163"/>
      <c r="T11" s="163"/>
      <c r="U11" s="191" t="str">
        <f t="shared" si="1"/>
        <v>Cumple</v>
      </c>
      <c r="V11" s="269" t="s">
        <v>2362</v>
      </c>
      <c r="W11" s="573" t="s">
        <v>2363</v>
      </c>
      <c r="X11" s="163"/>
      <c r="Y11" s="163" t="s">
        <v>2364</v>
      </c>
    </row>
    <row r="12" spans="1:25" s="112" customFormat="1" ht="243" customHeight="1">
      <c r="A12" s="163">
        <v>3</v>
      </c>
      <c r="B12" s="188" t="s">
        <v>1980</v>
      </c>
      <c r="C12" s="188" t="s">
        <v>2313</v>
      </c>
      <c r="D12" s="163" t="s">
        <v>2365</v>
      </c>
      <c r="E12" s="163" t="s">
        <v>2366</v>
      </c>
      <c r="F12" s="163" t="s">
        <v>2367</v>
      </c>
      <c r="G12" s="163" t="s">
        <v>2368</v>
      </c>
      <c r="H12" s="163" t="s">
        <v>2369</v>
      </c>
      <c r="I12" s="163">
        <v>2</v>
      </c>
      <c r="J12" s="159" t="s">
        <v>2319</v>
      </c>
      <c r="K12" s="159" t="s">
        <v>2370</v>
      </c>
      <c r="L12" s="189">
        <f t="shared" si="0"/>
        <v>34.142857142857146</v>
      </c>
      <c r="M12" s="546">
        <v>45275</v>
      </c>
      <c r="N12" s="194"/>
      <c r="O12" s="163"/>
      <c r="P12" s="655">
        <v>2</v>
      </c>
      <c r="Q12" s="190">
        <f t="shared" si="2"/>
        <v>1</v>
      </c>
      <c r="R12" s="163"/>
      <c r="S12" s="163"/>
      <c r="T12" s="163"/>
      <c r="U12" s="191" t="str">
        <f t="shared" si="1"/>
        <v>Cumple</v>
      </c>
      <c r="V12" s="573" t="s">
        <v>2371</v>
      </c>
      <c r="W12" s="573" t="s">
        <v>2372</v>
      </c>
      <c r="X12" s="163" t="s">
        <v>2373</v>
      </c>
      <c r="Y12" s="163" t="s">
        <v>2374</v>
      </c>
    </row>
    <row r="13" spans="1:25" s="112" customFormat="1" ht="326.25" customHeight="1">
      <c r="A13" s="163">
        <v>3</v>
      </c>
      <c r="B13" s="188" t="s">
        <v>1980</v>
      </c>
      <c r="C13" s="188" t="s">
        <v>2313</v>
      </c>
      <c r="D13" s="163" t="s">
        <v>2375</v>
      </c>
      <c r="E13" s="163" t="s">
        <v>2366</v>
      </c>
      <c r="F13" s="163" t="s">
        <v>2367</v>
      </c>
      <c r="G13" s="163" t="s">
        <v>2376</v>
      </c>
      <c r="H13" s="163" t="s">
        <v>2377</v>
      </c>
      <c r="I13" s="163">
        <v>2</v>
      </c>
      <c r="J13" s="159" t="s">
        <v>2319</v>
      </c>
      <c r="K13" s="159" t="s">
        <v>2370</v>
      </c>
      <c r="L13" s="189">
        <f t="shared" si="0"/>
        <v>34.142857142857146</v>
      </c>
      <c r="M13" s="192">
        <v>45107</v>
      </c>
      <c r="N13" s="163"/>
      <c r="O13" s="163"/>
      <c r="P13" s="655">
        <v>2</v>
      </c>
      <c r="Q13" s="190">
        <f t="shared" si="2"/>
        <v>1</v>
      </c>
      <c r="R13" s="163"/>
      <c r="S13" s="163"/>
      <c r="T13" s="163"/>
      <c r="U13" s="191" t="str">
        <f t="shared" si="1"/>
        <v>Cumple</v>
      </c>
      <c r="V13" s="269" t="s">
        <v>2378</v>
      </c>
      <c r="W13" s="269" t="s">
        <v>2379</v>
      </c>
      <c r="X13" s="163"/>
      <c r="Y13" s="163" t="s">
        <v>2380</v>
      </c>
    </row>
    <row r="14" spans="1:25" s="112" customFormat="1" ht="409.6" customHeight="1">
      <c r="A14" s="163">
        <v>4</v>
      </c>
      <c r="B14" s="188" t="s">
        <v>1980</v>
      </c>
      <c r="C14" s="188" t="s">
        <v>2313</v>
      </c>
      <c r="D14" s="163" t="s">
        <v>2381</v>
      </c>
      <c r="E14" s="163" t="s">
        <v>2382</v>
      </c>
      <c r="F14" s="163" t="s">
        <v>2383</v>
      </c>
      <c r="G14" s="163" t="s">
        <v>2384</v>
      </c>
      <c r="H14" s="163" t="s">
        <v>2385</v>
      </c>
      <c r="I14" s="163">
        <v>100</v>
      </c>
      <c r="J14" s="159" t="s">
        <v>2319</v>
      </c>
      <c r="K14" s="159" t="s">
        <v>2338</v>
      </c>
      <c r="L14" s="189">
        <f t="shared" si="0"/>
        <v>51.571428571428569</v>
      </c>
      <c r="M14" s="546">
        <v>45247</v>
      </c>
      <c r="N14" s="194"/>
      <c r="O14" s="163"/>
      <c r="P14" s="655">
        <v>68</v>
      </c>
      <c r="Q14" s="190">
        <v>0.68</v>
      </c>
      <c r="R14" s="163"/>
      <c r="S14" s="163"/>
      <c r="T14" s="163"/>
      <c r="U14" s="191" t="str">
        <f t="shared" si="1"/>
        <v>Cumple</v>
      </c>
      <c r="V14" s="573" t="s">
        <v>2386</v>
      </c>
      <c r="W14" s="573" t="s">
        <v>2387</v>
      </c>
      <c r="X14" s="163" t="s">
        <v>2373</v>
      </c>
      <c r="Y14" s="163" t="s">
        <v>2364</v>
      </c>
    </row>
    <row r="15" spans="1:25" s="112" customFormat="1" ht="190.5" customHeight="1">
      <c r="A15" s="163">
        <v>4</v>
      </c>
      <c r="B15" s="188" t="s">
        <v>1980</v>
      </c>
      <c r="C15" s="188" t="s">
        <v>2313</v>
      </c>
      <c r="D15" s="163" t="s">
        <v>2381</v>
      </c>
      <c r="E15" s="163" t="s">
        <v>2382</v>
      </c>
      <c r="F15" s="163" t="s">
        <v>2383</v>
      </c>
      <c r="G15" s="163" t="s">
        <v>2388</v>
      </c>
      <c r="H15" s="163" t="s">
        <v>2389</v>
      </c>
      <c r="I15" s="163">
        <v>1</v>
      </c>
      <c r="J15" s="159" t="s">
        <v>2319</v>
      </c>
      <c r="K15" s="159" t="s">
        <v>2338</v>
      </c>
      <c r="L15" s="189">
        <f t="shared" si="0"/>
        <v>51.571428571428569</v>
      </c>
      <c r="M15" s="546">
        <v>45247</v>
      </c>
      <c r="N15" s="194"/>
      <c r="O15" s="163"/>
      <c r="P15" s="658">
        <v>1</v>
      </c>
      <c r="Q15" s="190">
        <f t="shared" si="2"/>
        <v>1</v>
      </c>
      <c r="R15" s="163"/>
      <c r="S15" s="163"/>
      <c r="T15" s="163"/>
      <c r="U15" s="191" t="str">
        <f t="shared" si="1"/>
        <v>Cumple</v>
      </c>
      <c r="V15" s="269" t="s">
        <v>2390</v>
      </c>
      <c r="W15" s="269" t="s">
        <v>2391</v>
      </c>
      <c r="X15" s="163"/>
      <c r="Y15" s="163" t="s">
        <v>2364</v>
      </c>
    </row>
    <row r="16" spans="1:25" s="112" customFormat="1" ht="183" customHeight="1">
      <c r="A16" s="163">
        <v>5</v>
      </c>
      <c r="B16" s="188" t="s">
        <v>1980</v>
      </c>
      <c r="C16" s="188" t="s">
        <v>2313</v>
      </c>
      <c r="D16" s="163" t="s">
        <v>2392</v>
      </c>
      <c r="E16" s="163" t="s">
        <v>2393</v>
      </c>
      <c r="F16" s="163" t="s">
        <v>2394</v>
      </c>
      <c r="G16" s="163" t="s">
        <v>2395</v>
      </c>
      <c r="H16" s="163" t="s">
        <v>2396</v>
      </c>
      <c r="I16" s="163">
        <v>1</v>
      </c>
      <c r="J16" s="159" t="s">
        <v>2319</v>
      </c>
      <c r="K16" s="159" t="s">
        <v>2397</v>
      </c>
      <c r="L16" s="189">
        <f t="shared" si="0"/>
        <v>20.285714285714285</v>
      </c>
      <c r="M16" s="546">
        <v>45247</v>
      </c>
      <c r="N16" s="194"/>
      <c r="O16" s="163"/>
      <c r="P16" s="655">
        <v>1</v>
      </c>
      <c r="Q16" s="190">
        <f t="shared" si="2"/>
        <v>1</v>
      </c>
      <c r="R16" s="163"/>
      <c r="S16" s="163"/>
      <c r="T16" s="163"/>
      <c r="U16" s="191" t="str">
        <f t="shared" si="1"/>
        <v>Cumple</v>
      </c>
      <c r="V16" s="269" t="s">
        <v>2398</v>
      </c>
      <c r="W16" s="269" t="s">
        <v>2399</v>
      </c>
      <c r="X16" s="163"/>
      <c r="Y16" s="163" t="s">
        <v>2364</v>
      </c>
    </row>
    <row r="17" spans="1:25" s="112" customFormat="1" ht="330.75" customHeight="1">
      <c r="A17" s="163">
        <v>6</v>
      </c>
      <c r="B17" s="188" t="s">
        <v>1980</v>
      </c>
      <c r="C17" s="188" t="s">
        <v>2313</v>
      </c>
      <c r="D17" s="163" t="s">
        <v>2400</v>
      </c>
      <c r="E17" s="163" t="s">
        <v>2401</v>
      </c>
      <c r="F17" s="163" t="s">
        <v>2402</v>
      </c>
      <c r="G17" s="163" t="s">
        <v>2403</v>
      </c>
      <c r="H17" s="163" t="s">
        <v>2404</v>
      </c>
      <c r="I17" s="163">
        <v>1</v>
      </c>
      <c r="J17" s="159" t="s">
        <v>2319</v>
      </c>
      <c r="K17" s="159" t="s">
        <v>2397</v>
      </c>
      <c r="L17" s="189">
        <f t="shared" si="0"/>
        <v>20.285714285714285</v>
      </c>
      <c r="M17" s="192">
        <v>45107</v>
      </c>
      <c r="N17" s="194"/>
      <c r="O17" s="163"/>
      <c r="P17" s="655">
        <v>1</v>
      </c>
      <c r="Q17" s="190">
        <f t="shared" si="2"/>
        <v>1</v>
      </c>
      <c r="R17" s="163"/>
      <c r="S17" s="163"/>
      <c r="T17" s="163"/>
      <c r="U17" s="191" t="str">
        <f t="shared" si="1"/>
        <v>Cumple</v>
      </c>
      <c r="V17" s="269" t="s">
        <v>2405</v>
      </c>
      <c r="W17" s="269" t="s">
        <v>2406</v>
      </c>
      <c r="X17" s="163"/>
      <c r="Y17" s="163" t="s">
        <v>2407</v>
      </c>
    </row>
    <row r="18" spans="1:25" s="112" customFormat="1" ht="265.5" customHeight="1">
      <c r="A18" s="163">
        <v>6</v>
      </c>
      <c r="B18" s="188" t="s">
        <v>1980</v>
      </c>
      <c r="C18" s="188" t="s">
        <v>2313</v>
      </c>
      <c r="D18" s="163" t="s">
        <v>2408</v>
      </c>
      <c r="E18" s="163" t="s">
        <v>2401</v>
      </c>
      <c r="F18" s="163" t="s">
        <v>2402</v>
      </c>
      <c r="G18" s="163" t="s">
        <v>2409</v>
      </c>
      <c r="H18" s="163" t="s">
        <v>2410</v>
      </c>
      <c r="I18" s="163">
        <v>1</v>
      </c>
      <c r="J18" s="159" t="s">
        <v>2319</v>
      </c>
      <c r="K18" s="159" t="s">
        <v>2397</v>
      </c>
      <c r="L18" s="189">
        <f t="shared" si="0"/>
        <v>20.285714285714285</v>
      </c>
      <c r="M18" s="195">
        <v>44893</v>
      </c>
      <c r="N18" s="194"/>
      <c r="O18" s="163"/>
      <c r="P18" s="655">
        <v>1</v>
      </c>
      <c r="Q18" s="190">
        <f t="shared" si="2"/>
        <v>1</v>
      </c>
      <c r="R18" s="163"/>
      <c r="S18" s="163"/>
      <c r="T18" s="163"/>
      <c r="U18" s="191" t="str">
        <f t="shared" si="1"/>
        <v>Cumple</v>
      </c>
      <c r="V18" s="269" t="s">
        <v>2411</v>
      </c>
      <c r="W18" s="269" t="s">
        <v>2412</v>
      </c>
      <c r="X18" s="163"/>
      <c r="Y18" s="163" t="s">
        <v>2407</v>
      </c>
    </row>
    <row r="19" spans="1:25" s="112" customFormat="1" ht="164.45" customHeight="1">
      <c r="A19" s="163">
        <v>6</v>
      </c>
      <c r="B19" s="188" t="s">
        <v>1980</v>
      </c>
      <c r="C19" s="188" t="s">
        <v>2313</v>
      </c>
      <c r="D19" s="163" t="s">
        <v>2413</v>
      </c>
      <c r="E19" s="163" t="s">
        <v>2414</v>
      </c>
      <c r="F19" s="163" t="s">
        <v>2415</v>
      </c>
      <c r="G19" s="163" t="s">
        <v>2416</v>
      </c>
      <c r="H19" s="163" t="s">
        <v>811</v>
      </c>
      <c r="I19" s="163">
        <v>1</v>
      </c>
      <c r="J19" s="159" t="s">
        <v>2319</v>
      </c>
      <c r="K19" s="159" t="s">
        <v>2397</v>
      </c>
      <c r="L19" s="189">
        <f t="shared" si="0"/>
        <v>20.285714285714285</v>
      </c>
      <c r="M19" s="195">
        <v>44923</v>
      </c>
      <c r="N19" s="194"/>
      <c r="O19" s="163"/>
      <c r="P19" s="655">
        <v>1</v>
      </c>
      <c r="Q19" s="190">
        <f t="shared" si="2"/>
        <v>1</v>
      </c>
      <c r="R19" s="163"/>
      <c r="S19" s="163"/>
      <c r="T19" s="163"/>
      <c r="U19" s="191" t="str">
        <f t="shared" si="1"/>
        <v>Cumple</v>
      </c>
      <c r="V19" s="269" t="s">
        <v>2417</v>
      </c>
      <c r="W19" s="269" t="s">
        <v>2418</v>
      </c>
      <c r="X19" s="163"/>
      <c r="Y19" s="163" t="s">
        <v>2407</v>
      </c>
    </row>
    <row r="20" spans="1:25" s="112" customFormat="1" ht="132.6" customHeight="1">
      <c r="A20" s="163">
        <v>6</v>
      </c>
      <c r="B20" s="188" t="s">
        <v>1980</v>
      </c>
      <c r="C20" s="188" t="s">
        <v>2313</v>
      </c>
      <c r="D20" s="163" t="s">
        <v>2419</v>
      </c>
      <c r="E20" s="163" t="s">
        <v>2420</v>
      </c>
      <c r="F20" s="163" t="s">
        <v>2421</v>
      </c>
      <c r="G20" s="163" t="s">
        <v>2422</v>
      </c>
      <c r="H20" s="163" t="s">
        <v>2423</v>
      </c>
      <c r="I20" s="163">
        <v>1</v>
      </c>
      <c r="J20" s="159" t="s">
        <v>2319</v>
      </c>
      <c r="K20" s="159" t="s">
        <v>2397</v>
      </c>
      <c r="L20" s="189">
        <f t="shared" si="0"/>
        <v>20.285714285714285</v>
      </c>
      <c r="M20" s="192">
        <v>45076</v>
      </c>
      <c r="N20" s="194"/>
      <c r="O20" s="163"/>
      <c r="P20" s="655">
        <v>1</v>
      </c>
      <c r="Q20" s="190">
        <f t="shared" si="2"/>
        <v>1</v>
      </c>
      <c r="R20" s="163"/>
      <c r="S20" s="163"/>
      <c r="T20" s="163"/>
      <c r="U20" s="191" t="str">
        <f t="shared" si="1"/>
        <v>Cumple</v>
      </c>
      <c r="V20" s="269" t="s">
        <v>2424</v>
      </c>
      <c r="W20" s="269" t="s">
        <v>2425</v>
      </c>
      <c r="X20" s="163"/>
      <c r="Y20" s="163" t="s">
        <v>2426</v>
      </c>
    </row>
    <row r="21" spans="1:25" s="112" customFormat="1" ht="323.25" customHeight="1">
      <c r="A21" s="163">
        <v>7</v>
      </c>
      <c r="B21" s="188" t="s">
        <v>1980</v>
      </c>
      <c r="C21" s="188" t="s">
        <v>2313</v>
      </c>
      <c r="D21" s="163" t="s">
        <v>2427</v>
      </c>
      <c r="E21" s="163" t="s">
        <v>2428</v>
      </c>
      <c r="F21" s="163" t="s">
        <v>2429</v>
      </c>
      <c r="G21" s="163" t="s">
        <v>2430</v>
      </c>
      <c r="H21" s="163" t="s">
        <v>2431</v>
      </c>
      <c r="I21" s="193">
        <v>1</v>
      </c>
      <c r="J21" s="159" t="s">
        <v>2319</v>
      </c>
      <c r="K21" s="159" t="s">
        <v>2338</v>
      </c>
      <c r="L21" s="189">
        <f t="shared" si="0"/>
        <v>51.571428571428569</v>
      </c>
      <c r="M21" s="192">
        <v>45107</v>
      </c>
      <c r="N21" s="194"/>
      <c r="O21" s="163"/>
      <c r="P21" s="658">
        <v>1</v>
      </c>
      <c r="Q21" s="190">
        <f t="shared" si="2"/>
        <v>1</v>
      </c>
      <c r="R21" s="163"/>
      <c r="S21" s="163"/>
      <c r="T21" s="163"/>
      <c r="U21" s="191" t="str">
        <f t="shared" si="1"/>
        <v>Cumple</v>
      </c>
      <c r="V21" s="269" t="s">
        <v>2432</v>
      </c>
      <c r="W21" s="269" t="s">
        <v>2433</v>
      </c>
      <c r="X21" s="163"/>
      <c r="Y21" s="163" t="s">
        <v>2434</v>
      </c>
    </row>
    <row r="22" spans="1:25" s="112" customFormat="1" ht="221.45" customHeight="1">
      <c r="A22" s="163">
        <v>7</v>
      </c>
      <c r="B22" s="188" t="s">
        <v>1980</v>
      </c>
      <c r="C22" s="188" t="s">
        <v>2313</v>
      </c>
      <c r="D22" s="163" t="s">
        <v>2435</v>
      </c>
      <c r="E22" s="163" t="s">
        <v>2428</v>
      </c>
      <c r="F22" s="163" t="s">
        <v>2429</v>
      </c>
      <c r="G22" s="163" t="s">
        <v>2436</v>
      </c>
      <c r="H22" s="163" t="s">
        <v>2437</v>
      </c>
      <c r="I22" s="163">
        <v>100</v>
      </c>
      <c r="J22" s="159" t="s">
        <v>2319</v>
      </c>
      <c r="K22" s="159" t="s">
        <v>2338</v>
      </c>
      <c r="L22" s="189">
        <f t="shared" si="0"/>
        <v>51.571428571428569</v>
      </c>
      <c r="M22" s="159">
        <v>44925</v>
      </c>
      <c r="N22" s="194"/>
      <c r="O22" s="163"/>
      <c r="P22" s="655">
        <v>100</v>
      </c>
      <c r="Q22" s="190">
        <f t="shared" si="2"/>
        <v>1</v>
      </c>
      <c r="R22" s="163"/>
      <c r="S22" s="163"/>
      <c r="T22" s="163"/>
      <c r="U22" s="191" t="str">
        <f t="shared" si="1"/>
        <v>Cumple</v>
      </c>
      <c r="V22" s="269" t="s">
        <v>2438</v>
      </c>
      <c r="W22" s="269" t="s">
        <v>2439</v>
      </c>
      <c r="X22" s="163"/>
      <c r="Y22" s="163" t="s">
        <v>2434</v>
      </c>
    </row>
    <row r="23" spans="1:25" s="112" customFormat="1" ht="245.1" customHeight="1">
      <c r="A23" s="163">
        <v>7</v>
      </c>
      <c r="B23" s="188" t="s">
        <v>1980</v>
      </c>
      <c r="C23" s="188" t="s">
        <v>2313</v>
      </c>
      <c r="D23" s="163" t="s">
        <v>2440</v>
      </c>
      <c r="E23" s="163" t="s">
        <v>2441</v>
      </c>
      <c r="F23" s="163" t="s">
        <v>2442</v>
      </c>
      <c r="G23" s="163" t="s">
        <v>2443</v>
      </c>
      <c r="H23" s="163" t="s">
        <v>2444</v>
      </c>
      <c r="I23" s="163">
        <v>1</v>
      </c>
      <c r="J23" s="159" t="s">
        <v>2346</v>
      </c>
      <c r="K23" s="159" t="s">
        <v>2445</v>
      </c>
      <c r="L23" s="189">
        <f t="shared" si="0"/>
        <v>-5.2857142857142856</v>
      </c>
      <c r="M23" s="159">
        <v>44925</v>
      </c>
      <c r="N23" s="194"/>
      <c r="O23" s="163"/>
      <c r="P23" s="655">
        <v>1</v>
      </c>
      <c r="Q23" s="190">
        <f t="shared" si="2"/>
        <v>1</v>
      </c>
      <c r="R23" s="163"/>
      <c r="S23" s="163"/>
      <c r="T23" s="163"/>
      <c r="U23" s="191" t="str">
        <f t="shared" si="1"/>
        <v>Cumple</v>
      </c>
      <c r="V23" s="269" t="s">
        <v>2438</v>
      </c>
      <c r="W23" s="269" t="s">
        <v>2439</v>
      </c>
      <c r="X23" s="163"/>
      <c r="Y23" s="163" t="s">
        <v>2446</v>
      </c>
    </row>
    <row r="24" spans="1:25" s="112" customFormat="1" ht="174.6" customHeight="1">
      <c r="A24" s="163">
        <v>8</v>
      </c>
      <c r="B24" s="188" t="s">
        <v>1980</v>
      </c>
      <c r="C24" s="188" t="s">
        <v>2313</v>
      </c>
      <c r="D24" s="163" t="s">
        <v>2447</v>
      </c>
      <c r="E24" s="163" t="s">
        <v>2448</v>
      </c>
      <c r="F24" s="163" t="s">
        <v>2449</v>
      </c>
      <c r="G24" s="163" t="s">
        <v>2450</v>
      </c>
      <c r="H24" s="163" t="s">
        <v>2451</v>
      </c>
      <c r="I24" s="163">
        <v>1</v>
      </c>
      <c r="J24" s="159" t="s">
        <v>2319</v>
      </c>
      <c r="K24" s="159" t="s">
        <v>2452</v>
      </c>
      <c r="L24" s="189">
        <f t="shared" si="0"/>
        <v>2.7142857142857144</v>
      </c>
      <c r="M24" s="159">
        <v>44925</v>
      </c>
      <c r="N24" s="194"/>
      <c r="O24" s="163"/>
      <c r="P24" s="655">
        <v>1</v>
      </c>
      <c r="Q24" s="190">
        <f>IF(P24/I24=1,1,+P24/I24)</f>
        <v>1</v>
      </c>
      <c r="R24" s="163"/>
      <c r="S24" s="163"/>
      <c r="T24" s="163"/>
      <c r="U24" s="191" t="str">
        <f t="shared" si="1"/>
        <v>Cumple</v>
      </c>
      <c r="V24" s="269" t="s">
        <v>2453</v>
      </c>
      <c r="W24" s="269" t="s">
        <v>2454</v>
      </c>
      <c r="X24" s="163"/>
      <c r="Y24" s="163" t="s">
        <v>2455</v>
      </c>
    </row>
    <row r="25" spans="1:25" s="112" customFormat="1" ht="174.6" customHeight="1">
      <c r="A25" s="803">
        <v>8</v>
      </c>
      <c r="B25" s="807" t="s">
        <v>1980</v>
      </c>
      <c r="C25" s="807" t="s">
        <v>2313</v>
      </c>
      <c r="D25" s="803" t="s">
        <v>2447</v>
      </c>
      <c r="E25" s="803" t="s">
        <v>2286</v>
      </c>
      <c r="F25" s="803" t="s">
        <v>2287</v>
      </c>
      <c r="G25" s="163" t="s">
        <v>2456</v>
      </c>
      <c r="H25" s="196" t="s">
        <v>2289</v>
      </c>
      <c r="I25" s="197">
        <v>1</v>
      </c>
      <c r="J25" s="195">
        <v>44784</v>
      </c>
      <c r="K25" s="195">
        <v>44888</v>
      </c>
      <c r="L25" s="189">
        <f t="shared" si="0"/>
        <v>14.857142857142858</v>
      </c>
      <c r="M25" s="192">
        <v>45107</v>
      </c>
      <c r="N25" s="198">
        <f>(M25-K25)/7</f>
        <v>31.285714285714285</v>
      </c>
      <c r="O25" s="199" t="s">
        <v>1642</v>
      </c>
      <c r="P25" s="655">
        <v>1</v>
      </c>
      <c r="Q25" s="190">
        <f>IF(P25/I25=1,1,+P25/I25)</f>
        <v>1</v>
      </c>
      <c r="R25" s="163"/>
      <c r="S25" s="163"/>
      <c r="T25" s="163"/>
      <c r="U25" s="191" t="str">
        <f t="shared" si="1"/>
        <v>Incumple</v>
      </c>
      <c r="V25" s="269" t="s">
        <v>2457</v>
      </c>
      <c r="W25" s="269" t="s">
        <v>2458</v>
      </c>
      <c r="X25" s="163"/>
      <c r="Y25" s="803" t="s">
        <v>2455</v>
      </c>
    </row>
    <row r="26" spans="1:25" s="112" customFormat="1" ht="357" customHeight="1">
      <c r="A26" s="803"/>
      <c r="B26" s="807"/>
      <c r="C26" s="807"/>
      <c r="D26" s="803"/>
      <c r="E26" s="803"/>
      <c r="F26" s="803"/>
      <c r="G26" s="163" t="s">
        <v>2459</v>
      </c>
      <c r="H26" s="196" t="s">
        <v>2293</v>
      </c>
      <c r="I26" s="200">
        <v>1</v>
      </c>
      <c r="J26" s="195">
        <v>44874</v>
      </c>
      <c r="K26" s="195">
        <v>44910</v>
      </c>
      <c r="L26" s="189">
        <f t="shared" si="0"/>
        <v>5.1428571428571432</v>
      </c>
      <c r="M26" s="192">
        <v>45107</v>
      </c>
      <c r="N26" s="198">
        <f>(M26-K26)/7</f>
        <v>28.142857142857142</v>
      </c>
      <c r="O26" s="199" t="s">
        <v>2294</v>
      </c>
      <c r="P26" s="658">
        <v>1</v>
      </c>
      <c r="Q26" s="190">
        <f>IF(P26/I26=1,1,+P26/I26)</f>
        <v>1</v>
      </c>
      <c r="R26" s="163"/>
      <c r="S26" s="163"/>
      <c r="T26" s="163"/>
      <c r="U26" s="191" t="str">
        <f t="shared" si="1"/>
        <v>Incumple</v>
      </c>
      <c r="V26" s="269" t="s">
        <v>2460</v>
      </c>
      <c r="W26" s="269" t="s">
        <v>2461</v>
      </c>
      <c r="X26" s="163"/>
      <c r="Y26" s="803"/>
    </row>
    <row r="27" spans="1:25" s="112" customFormat="1" ht="149.44999999999999" customHeight="1">
      <c r="A27" s="803"/>
      <c r="B27" s="807"/>
      <c r="C27" s="807"/>
      <c r="D27" s="803"/>
      <c r="E27" s="803"/>
      <c r="F27" s="803"/>
      <c r="G27" s="163" t="s">
        <v>2462</v>
      </c>
      <c r="H27" s="196" t="s">
        <v>2298</v>
      </c>
      <c r="I27" s="197">
        <v>1</v>
      </c>
      <c r="J27" s="195">
        <v>44784</v>
      </c>
      <c r="K27" s="195">
        <v>45290</v>
      </c>
      <c r="L27" s="189">
        <f t="shared" si="0"/>
        <v>72.285714285714292</v>
      </c>
      <c r="M27" s="192">
        <v>45107</v>
      </c>
      <c r="N27" s="198">
        <f>(M27-K27)/7</f>
        <v>-26.142857142857142</v>
      </c>
      <c r="O27" s="199" t="s">
        <v>2294</v>
      </c>
      <c r="P27" s="655">
        <v>0.5</v>
      </c>
      <c r="Q27" s="190">
        <f>IF(P27/I27=1,1,+P27/I27)</f>
        <v>0.5</v>
      </c>
      <c r="R27" s="163"/>
      <c r="S27" s="163"/>
      <c r="T27" s="163"/>
      <c r="U27" s="191" t="str">
        <f t="shared" si="1"/>
        <v>Cumple</v>
      </c>
      <c r="V27" s="269" t="s">
        <v>2463</v>
      </c>
      <c r="W27" s="269" t="s">
        <v>2464</v>
      </c>
      <c r="X27" s="163" t="s">
        <v>2465</v>
      </c>
      <c r="Y27" s="803"/>
    </row>
    <row r="28" spans="1:25" s="112" customFormat="1" ht="296.45" customHeight="1">
      <c r="A28" s="163">
        <v>9</v>
      </c>
      <c r="B28" s="188" t="s">
        <v>1980</v>
      </c>
      <c r="C28" s="188" t="s">
        <v>2313</v>
      </c>
      <c r="D28" s="163" t="s">
        <v>2466</v>
      </c>
      <c r="E28" s="163" t="s">
        <v>2467</v>
      </c>
      <c r="F28" s="163" t="s">
        <v>2468</v>
      </c>
      <c r="G28" s="163" t="s">
        <v>2469</v>
      </c>
      <c r="H28" s="163" t="s">
        <v>2470</v>
      </c>
      <c r="I28" s="163">
        <v>1</v>
      </c>
      <c r="J28" s="159" t="s">
        <v>2319</v>
      </c>
      <c r="K28" s="159" t="s">
        <v>2397</v>
      </c>
      <c r="L28" s="189">
        <f t="shared" si="0"/>
        <v>20.285714285714285</v>
      </c>
      <c r="M28" s="159">
        <v>44925</v>
      </c>
      <c r="N28" s="194"/>
      <c r="O28" s="163"/>
      <c r="P28" s="655">
        <v>1</v>
      </c>
      <c r="Q28" s="190">
        <f t="shared" si="2"/>
        <v>1</v>
      </c>
      <c r="R28" s="163"/>
      <c r="S28" s="163"/>
      <c r="T28" s="163"/>
      <c r="U28" s="191" t="str">
        <f t="shared" si="1"/>
        <v>Cumple</v>
      </c>
      <c r="V28" s="269" t="s">
        <v>2471</v>
      </c>
      <c r="W28" s="269" t="s">
        <v>2472</v>
      </c>
      <c r="X28" s="163"/>
      <c r="Y28" s="163" t="s">
        <v>2473</v>
      </c>
    </row>
    <row r="29" spans="1:25" s="112" customFormat="1" ht="189.75" customHeight="1">
      <c r="A29" s="163">
        <v>9</v>
      </c>
      <c r="B29" s="188" t="s">
        <v>1980</v>
      </c>
      <c r="C29" s="188" t="s">
        <v>2313</v>
      </c>
      <c r="D29" s="163" t="s">
        <v>2466</v>
      </c>
      <c r="E29" s="163" t="s">
        <v>2467</v>
      </c>
      <c r="F29" s="163" t="s">
        <v>2468</v>
      </c>
      <c r="G29" s="163" t="s">
        <v>2474</v>
      </c>
      <c r="H29" s="163" t="s">
        <v>2475</v>
      </c>
      <c r="I29" s="163">
        <v>100</v>
      </c>
      <c r="J29" s="159" t="s">
        <v>2319</v>
      </c>
      <c r="K29" s="159" t="s">
        <v>2476</v>
      </c>
      <c r="L29" s="189">
        <f t="shared" si="0"/>
        <v>50.571428571428569</v>
      </c>
      <c r="M29" s="192">
        <v>45107</v>
      </c>
      <c r="N29" s="194"/>
      <c r="O29" s="163"/>
      <c r="P29" s="655">
        <v>100</v>
      </c>
      <c r="Q29" s="190">
        <f>IF(P29/I29=1,1,+P29/I29)</f>
        <v>1</v>
      </c>
      <c r="R29" s="163"/>
      <c r="S29" s="163"/>
      <c r="T29" s="163"/>
      <c r="U29" s="191" t="str">
        <f t="shared" si="1"/>
        <v>Cumple</v>
      </c>
      <c r="V29" s="269" t="s">
        <v>2477</v>
      </c>
      <c r="W29" s="269" t="s">
        <v>2478</v>
      </c>
      <c r="X29" s="163"/>
      <c r="Y29" s="163" t="s">
        <v>2473</v>
      </c>
    </row>
    <row r="30" spans="1:25" s="112" customFormat="1" ht="160.5" customHeight="1">
      <c r="A30" s="163">
        <v>9</v>
      </c>
      <c r="B30" s="188" t="s">
        <v>1980</v>
      </c>
      <c r="C30" s="188" t="s">
        <v>2313</v>
      </c>
      <c r="D30" s="163" t="s">
        <v>2479</v>
      </c>
      <c r="E30" s="163" t="s">
        <v>2480</v>
      </c>
      <c r="F30" s="163" t="s">
        <v>2481</v>
      </c>
      <c r="G30" s="163" t="s">
        <v>2482</v>
      </c>
      <c r="H30" s="163" t="s">
        <v>2437</v>
      </c>
      <c r="I30" s="163">
        <v>100</v>
      </c>
      <c r="J30" s="159" t="s">
        <v>2319</v>
      </c>
      <c r="K30" s="159" t="s">
        <v>2338</v>
      </c>
      <c r="L30" s="189">
        <f t="shared" si="0"/>
        <v>51.571428571428569</v>
      </c>
      <c r="M30" s="192">
        <v>44925</v>
      </c>
      <c r="N30" s="194"/>
      <c r="O30" s="163"/>
      <c r="P30" s="655">
        <v>100</v>
      </c>
      <c r="Q30" s="190">
        <f>IF(P30/I30=1,1,+P30/I30)</f>
        <v>1</v>
      </c>
      <c r="R30" s="163"/>
      <c r="S30" s="163"/>
      <c r="T30" s="163"/>
      <c r="U30" s="191" t="str">
        <f t="shared" si="1"/>
        <v>Cumple</v>
      </c>
      <c r="V30" s="269" t="s">
        <v>2438</v>
      </c>
      <c r="W30" s="269" t="s">
        <v>2483</v>
      </c>
      <c r="X30" s="163"/>
      <c r="Y30" s="163" t="s">
        <v>2473</v>
      </c>
    </row>
    <row r="31" spans="1:25" s="112" customFormat="1" ht="273.75" customHeight="1">
      <c r="A31" s="197">
        <v>4</v>
      </c>
      <c r="B31" s="163" t="s">
        <v>1980</v>
      </c>
      <c r="C31" s="163" t="s">
        <v>1981</v>
      </c>
      <c r="D31" s="163" t="s">
        <v>2484</v>
      </c>
      <c r="E31" s="163" t="s">
        <v>2485</v>
      </c>
      <c r="F31" s="163" t="s">
        <v>2316</v>
      </c>
      <c r="G31" s="163" t="s">
        <v>2317</v>
      </c>
      <c r="H31" s="163" t="s">
        <v>2318</v>
      </c>
      <c r="I31" s="196">
        <v>1</v>
      </c>
      <c r="J31" s="201">
        <v>44824</v>
      </c>
      <c r="K31" s="201">
        <v>44925</v>
      </c>
      <c r="L31" s="189">
        <f t="shared" si="0"/>
        <v>14.428571428571429</v>
      </c>
      <c r="M31" s="159" t="s">
        <v>2321</v>
      </c>
      <c r="N31" s="197" t="s">
        <v>61</v>
      </c>
      <c r="O31" s="197" t="s">
        <v>61</v>
      </c>
      <c r="P31" s="656">
        <v>1</v>
      </c>
      <c r="Q31" s="190">
        <f t="shared" si="2"/>
        <v>1</v>
      </c>
      <c r="R31" s="197" t="s">
        <v>61</v>
      </c>
      <c r="S31" s="197" t="s">
        <v>61</v>
      </c>
      <c r="T31" s="197" t="s">
        <v>61</v>
      </c>
      <c r="U31" s="191" t="str">
        <f t="shared" si="1"/>
        <v>Incumple</v>
      </c>
      <c r="V31" s="625" t="s">
        <v>2486</v>
      </c>
      <c r="W31" s="269" t="s">
        <v>2487</v>
      </c>
      <c r="X31" s="197" t="s">
        <v>61</v>
      </c>
      <c r="Y31" s="197" t="s">
        <v>61</v>
      </c>
    </row>
    <row r="32" spans="1:25" s="112" customFormat="1" ht="254.25" customHeight="1">
      <c r="A32" s="197">
        <v>4</v>
      </c>
      <c r="B32" s="163" t="s">
        <v>1980</v>
      </c>
      <c r="C32" s="163" t="s">
        <v>1981</v>
      </c>
      <c r="D32" s="163" t="s">
        <v>2484</v>
      </c>
      <c r="E32" s="163" t="s">
        <v>2485</v>
      </c>
      <c r="F32" s="163" t="s">
        <v>2316</v>
      </c>
      <c r="G32" s="163" t="s">
        <v>2326</v>
      </c>
      <c r="H32" s="163" t="s">
        <v>2327</v>
      </c>
      <c r="I32" s="196">
        <v>100</v>
      </c>
      <c r="J32" s="201">
        <v>44824</v>
      </c>
      <c r="K32" s="201">
        <v>44925</v>
      </c>
      <c r="L32" s="189">
        <f t="shared" si="0"/>
        <v>14.428571428571429</v>
      </c>
      <c r="M32" s="159" t="s">
        <v>2321</v>
      </c>
      <c r="N32" s="197" t="s">
        <v>61</v>
      </c>
      <c r="O32" s="197" t="s">
        <v>61</v>
      </c>
      <c r="P32" s="656">
        <v>100</v>
      </c>
      <c r="Q32" s="190">
        <f t="shared" si="2"/>
        <v>1</v>
      </c>
      <c r="R32" s="197" t="s">
        <v>61</v>
      </c>
      <c r="S32" s="197" t="s">
        <v>61</v>
      </c>
      <c r="T32" s="197" t="s">
        <v>61</v>
      </c>
      <c r="U32" s="191" t="str">
        <f t="shared" si="1"/>
        <v>Incumple</v>
      </c>
      <c r="V32" s="625" t="s">
        <v>61</v>
      </c>
      <c r="W32" s="269" t="s">
        <v>2488</v>
      </c>
      <c r="X32" s="197" t="s">
        <v>61</v>
      </c>
      <c r="Y32" s="197" t="s">
        <v>61</v>
      </c>
    </row>
    <row r="33" spans="1:25" s="112" customFormat="1" ht="249.75" customHeight="1">
      <c r="A33" s="197">
        <v>4</v>
      </c>
      <c r="B33" s="163" t="s">
        <v>1980</v>
      </c>
      <c r="C33" s="163" t="s">
        <v>1981</v>
      </c>
      <c r="D33" s="163" t="s">
        <v>2484</v>
      </c>
      <c r="E33" s="163" t="s">
        <v>2485</v>
      </c>
      <c r="F33" s="163" t="s">
        <v>2316</v>
      </c>
      <c r="G33" s="163" t="s">
        <v>2332</v>
      </c>
      <c r="H33" s="163" t="s">
        <v>2333</v>
      </c>
      <c r="I33" s="196">
        <v>100</v>
      </c>
      <c r="J33" s="201">
        <v>44824</v>
      </c>
      <c r="K33" s="201">
        <v>44925</v>
      </c>
      <c r="L33" s="189">
        <f t="shared" si="0"/>
        <v>14.428571428571429</v>
      </c>
      <c r="M33" s="159" t="s">
        <v>2321</v>
      </c>
      <c r="N33" s="197" t="s">
        <v>61</v>
      </c>
      <c r="O33" s="197" t="s">
        <v>61</v>
      </c>
      <c r="P33" s="656">
        <v>100</v>
      </c>
      <c r="Q33" s="190">
        <f t="shared" si="2"/>
        <v>1</v>
      </c>
      <c r="R33" s="197" t="s">
        <v>61</v>
      </c>
      <c r="S33" s="197" t="s">
        <v>61</v>
      </c>
      <c r="T33" s="197" t="s">
        <v>61</v>
      </c>
      <c r="U33" s="191" t="str">
        <f t="shared" si="1"/>
        <v>Incumple</v>
      </c>
      <c r="V33" s="625" t="s">
        <v>61</v>
      </c>
      <c r="W33" s="269" t="s">
        <v>2488</v>
      </c>
      <c r="X33" s="197" t="s">
        <v>61</v>
      </c>
      <c r="Y33" s="197" t="s">
        <v>61</v>
      </c>
    </row>
    <row r="34" spans="1:25" s="112" customFormat="1" ht="351.75" customHeight="1">
      <c r="A34" s="197">
        <v>4</v>
      </c>
      <c r="B34" s="163" t="s">
        <v>1980</v>
      </c>
      <c r="C34" s="163" t="s">
        <v>1981</v>
      </c>
      <c r="D34" s="163" t="s">
        <v>2484</v>
      </c>
      <c r="E34" s="163" t="s">
        <v>2315</v>
      </c>
      <c r="F34" s="163" t="s">
        <v>2316</v>
      </c>
      <c r="G34" s="163" t="s">
        <v>2489</v>
      </c>
      <c r="H34" s="163" t="s">
        <v>2337</v>
      </c>
      <c r="I34" s="196">
        <v>2</v>
      </c>
      <c r="J34" s="201">
        <v>44824</v>
      </c>
      <c r="K34" s="201">
        <v>44925</v>
      </c>
      <c r="L34" s="189">
        <f t="shared" si="0"/>
        <v>14.428571428571429</v>
      </c>
      <c r="M34" s="546">
        <v>45224</v>
      </c>
      <c r="N34" s="197" t="s">
        <v>61</v>
      </c>
      <c r="O34" s="197" t="s">
        <v>61</v>
      </c>
      <c r="P34" s="656">
        <v>2</v>
      </c>
      <c r="Q34" s="190">
        <f t="shared" si="2"/>
        <v>1</v>
      </c>
      <c r="R34" s="197" t="s">
        <v>61</v>
      </c>
      <c r="S34" s="197" t="s">
        <v>61</v>
      </c>
      <c r="T34" s="197" t="s">
        <v>61</v>
      </c>
      <c r="U34" s="191" t="str">
        <f t="shared" si="1"/>
        <v>Incumple</v>
      </c>
      <c r="V34" s="573" t="s">
        <v>2490</v>
      </c>
      <c r="W34" s="269" t="s">
        <v>2491</v>
      </c>
      <c r="X34" s="197" t="s">
        <v>61</v>
      </c>
      <c r="Y34" s="197" t="s">
        <v>61</v>
      </c>
    </row>
    <row r="35" spans="1:25" s="112" customFormat="1" ht="264.75" customHeight="1">
      <c r="A35" s="197">
        <v>4</v>
      </c>
      <c r="B35" s="163" t="s">
        <v>1980</v>
      </c>
      <c r="C35" s="163" t="s">
        <v>1981</v>
      </c>
      <c r="D35" s="163" t="s">
        <v>2484</v>
      </c>
      <c r="E35" s="163" t="s">
        <v>2342</v>
      </c>
      <c r="F35" s="163" t="s">
        <v>2343</v>
      </c>
      <c r="G35" s="163" t="s">
        <v>2344</v>
      </c>
      <c r="H35" s="163" t="s">
        <v>2345</v>
      </c>
      <c r="I35" s="196">
        <v>100</v>
      </c>
      <c r="J35" s="201">
        <v>44824</v>
      </c>
      <c r="K35" s="159">
        <v>45118</v>
      </c>
      <c r="L35" s="189">
        <f t="shared" si="0"/>
        <v>42</v>
      </c>
      <c r="M35" s="192">
        <v>45107</v>
      </c>
      <c r="N35" s="197" t="s">
        <v>61</v>
      </c>
      <c r="O35" s="197" t="s">
        <v>61</v>
      </c>
      <c r="P35" s="656">
        <v>100</v>
      </c>
      <c r="Q35" s="190">
        <f t="shared" si="2"/>
        <v>1</v>
      </c>
      <c r="R35" s="197" t="s">
        <v>61</v>
      </c>
      <c r="S35" s="197" t="s">
        <v>61</v>
      </c>
      <c r="T35" s="197" t="s">
        <v>61</v>
      </c>
      <c r="U35" s="191" t="str">
        <f t="shared" si="1"/>
        <v>Cumple</v>
      </c>
      <c r="V35" s="269" t="s">
        <v>2492</v>
      </c>
      <c r="W35" s="269" t="s">
        <v>2493</v>
      </c>
      <c r="X35" s="197" t="s">
        <v>61</v>
      </c>
      <c r="Y35" s="197" t="s">
        <v>61</v>
      </c>
    </row>
    <row r="36" spans="1:25" s="112" customFormat="1" ht="255.75" customHeight="1">
      <c r="A36" s="197">
        <v>15</v>
      </c>
      <c r="B36" s="163" t="s">
        <v>1980</v>
      </c>
      <c r="C36" s="163" t="s">
        <v>2155</v>
      </c>
      <c r="D36" s="196" t="s">
        <v>2494</v>
      </c>
      <c r="E36" s="163" t="s">
        <v>2382</v>
      </c>
      <c r="F36" s="163" t="s">
        <v>2383</v>
      </c>
      <c r="G36" s="163" t="s">
        <v>2384</v>
      </c>
      <c r="H36" s="163" t="s">
        <v>2385</v>
      </c>
      <c r="I36" s="196">
        <v>100</v>
      </c>
      <c r="J36" s="201">
        <v>44824</v>
      </c>
      <c r="K36" s="159">
        <v>45114</v>
      </c>
      <c r="L36" s="189">
        <f t="shared" si="0"/>
        <v>41.428571428571431</v>
      </c>
      <c r="M36" s="546">
        <v>45247</v>
      </c>
      <c r="N36" s="197" t="s">
        <v>61</v>
      </c>
      <c r="O36" s="197" t="s">
        <v>61</v>
      </c>
      <c r="P36" s="656">
        <v>91</v>
      </c>
      <c r="Q36" s="190">
        <f>IF(P36/I36=1,1,+P36/I36)</f>
        <v>0.91</v>
      </c>
      <c r="R36" s="197" t="s">
        <v>61</v>
      </c>
      <c r="S36" s="197" t="s">
        <v>61</v>
      </c>
      <c r="T36" s="197" t="s">
        <v>61</v>
      </c>
      <c r="U36" s="191" t="str">
        <f t="shared" si="1"/>
        <v>Incumple</v>
      </c>
      <c r="V36" s="573" t="s">
        <v>2495</v>
      </c>
      <c r="W36" s="573" t="s">
        <v>2496</v>
      </c>
      <c r="X36" s="197" t="s">
        <v>61</v>
      </c>
      <c r="Y36" s="197" t="s">
        <v>61</v>
      </c>
    </row>
    <row r="37" spans="1:25" s="112" customFormat="1" ht="96" customHeight="1">
      <c r="A37" s="197">
        <v>15</v>
      </c>
      <c r="B37" s="163" t="s">
        <v>1980</v>
      </c>
      <c r="C37" s="163" t="s">
        <v>2155</v>
      </c>
      <c r="D37" s="163" t="s">
        <v>2497</v>
      </c>
      <c r="E37" s="163" t="s">
        <v>2382</v>
      </c>
      <c r="F37" s="163" t="s">
        <v>2383</v>
      </c>
      <c r="G37" s="163" t="s">
        <v>2388</v>
      </c>
      <c r="H37" s="163" t="s">
        <v>2389</v>
      </c>
      <c r="I37" s="196">
        <v>1</v>
      </c>
      <c r="J37" s="201">
        <v>44824</v>
      </c>
      <c r="K37" s="159">
        <v>45114</v>
      </c>
      <c r="L37" s="189">
        <f t="shared" si="0"/>
        <v>41.428571428571431</v>
      </c>
      <c r="M37" s="546">
        <v>45247</v>
      </c>
      <c r="N37" s="197" t="s">
        <v>61</v>
      </c>
      <c r="O37" s="197" t="s">
        <v>61</v>
      </c>
      <c r="P37" s="659">
        <v>1</v>
      </c>
      <c r="Q37" s="190">
        <f>IF(P37/I37=1,1,+P37/I37)</f>
        <v>1</v>
      </c>
      <c r="R37" s="197" t="s">
        <v>61</v>
      </c>
      <c r="S37" s="197" t="s">
        <v>61</v>
      </c>
      <c r="T37" s="197" t="s">
        <v>61</v>
      </c>
      <c r="U37" s="191" t="str">
        <f t="shared" si="1"/>
        <v>Incumple</v>
      </c>
      <c r="V37" s="269" t="s">
        <v>2498</v>
      </c>
      <c r="W37" s="269" t="s">
        <v>2391</v>
      </c>
      <c r="X37" s="197" t="s">
        <v>61</v>
      </c>
      <c r="Y37" s="197" t="s">
        <v>61</v>
      </c>
    </row>
    <row r="38" spans="1:25" s="112" customFormat="1" ht="348.75" customHeight="1">
      <c r="A38" s="197">
        <v>16</v>
      </c>
      <c r="B38" s="163" t="s">
        <v>1980</v>
      </c>
      <c r="C38" s="163" t="s">
        <v>2155</v>
      </c>
      <c r="D38" s="804" t="s">
        <v>2499</v>
      </c>
      <c r="E38" s="163" t="s">
        <v>2382</v>
      </c>
      <c r="F38" s="163" t="s">
        <v>2383</v>
      </c>
      <c r="G38" s="163" t="s">
        <v>2384</v>
      </c>
      <c r="H38" s="163" t="s">
        <v>2385</v>
      </c>
      <c r="I38" s="196">
        <v>100</v>
      </c>
      <c r="J38" s="201">
        <v>44824</v>
      </c>
      <c r="K38" s="159">
        <v>45114</v>
      </c>
      <c r="L38" s="189">
        <f t="shared" si="0"/>
        <v>41.428571428571431</v>
      </c>
      <c r="M38" s="546">
        <v>45247</v>
      </c>
      <c r="N38" s="197" t="s">
        <v>61</v>
      </c>
      <c r="O38" s="197" t="s">
        <v>61</v>
      </c>
      <c r="P38" s="656">
        <v>55</v>
      </c>
      <c r="Q38" s="190">
        <f>IF(P38/I38=1,1,+P38/I38)</f>
        <v>0.55000000000000004</v>
      </c>
      <c r="R38" s="197" t="s">
        <v>61</v>
      </c>
      <c r="S38" s="197" t="s">
        <v>61</v>
      </c>
      <c r="T38" s="197" t="s">
        <v>61</v>
      </c>
      <c r="U38" s="191" t="str">
        <f t="shared" si="1"/>
        <v>Incumple</v>
      </c>
      <c r="V38" s="269" t="s">
        <v>2500</v>
      </c>
      <c r="W38" s="573" t="s">
        <v>2501</v>
      </c>
      <c r="X38" s="197" t="s">
        <v>61</v>
      </c>
      <c r="Y38" s="197" t="s">
        <v>61</v>
      </c>
    </row>
    <row r="39" spans="1:25" s="112" customFormat="1" ht="111.75" customHeight="1">
      <c r="A39" s="197">
        <v>16</v>
      </c>
      <c r="B39" s="163" t="s">
        <v>1980</v>
      </c>
      <c r="C39" s="163" t="s">
        <v>2155</v>
      </c>
      <c r="D39" s="805"/>
      <c r="E39" s="163" t="s">
        <v>2382</v>
      </c>
      <c r="F39" s="163" t="s">
        <v>2383</v>
      </c>
      <c r="G39" s="163" t="s">
        <v>2388</v>
      </c>
      <c r="H39" s="163" t="s">
        <v>2389</v>
      </c>
      <c r="I39" s="196">
        <v>1</v>
      </c>
      <c r="J39" s="201">
        <v>44824</v>
      </c>
      <c r="K39" s="159">
        <v>45114</v>
      </c>
      <c r="L39" s="189">
        <f t="shared" si="0"/>
        <v>41.428571428571431</v>
      </c>
      <c r="M39" s="546">
        <v>45247</v>
      </c>
      <c r="N39" s="197" t="s">
        <v>61</v>
      </c>
      <c r="O39" s="197" t="s">
        <v>61</v>
      </c>
      <c r="P39" s="659">
        <v>1</v>
      </c>
      <c r="Q39" s="190">
        <f>IF(P39/I39=1,1,+P39/I39)</f>
        <v>1</v>
      </c>
      <c r="R39" s="197" t="s">
        <v>61</v>
      </c>
      <c r="S39" s="197" t="s">
        <v>61</v>
      </c>
      <c r="T39" s="197" t="s">
        <v>61</v>
      </c>
      <c r="U39" s="191" t="str">
        <f t="shared" si="1"/>
        <v>Incumple</v>
      </c>
      <c r="V39" s="269" t="s">
        <v>2502</v>
      </c>
      <c r="W39" s="269" t="s">
        <v>2391</v>
      </c>
      <c r="X39" s="197" t="s">
        <v>61</v>
      </c>
      <c r="Y39" s="197" t="s">
        <v>61</v>
      </c>
    </row>
    <row r="40" spans="1:25" ht="15">
      <c r="Q40" s="202">
        <f>AVERAGE(Q4:Q39)</f>
        <v>0.93444444444444441</v>
      </c>
      <c r="U40" s="203">
        <f>(COUNTIF(U4:U39,"Cumple")*100%)/COUNTA(U4:U39)</f>
        <v>0.63888888888888884</v>
      </c>
      <c r="W40"/>
    </row>
  </sheetData>
  <autoFilter ref="A3:Y3" xr:uid="{00000000-0001-0000-0F00-000000000000}"/>
  <mergeCells count="9">
    <mergeCell ref="D38:D39"/>
    <mergeCell ref="Y25:Y27"/>
    <mergeCell ref="A1:Y2"/>
    <mergeCell ref="E25:E27"/>
    <mergeCell ref="F25:F27"/>
    <mergeCell ref="A25:A27"/>
    <mergeCell ref="B25:B27"/>
    <mergeCell ref="C25:C27"/>
    <mergeCell ref="D25:D27"/>
  </mergeCells>
  <conditionalFormatting sqref="Q1:Q1048576">
    <cfRule type="colorScale" priority="7">
      <colorScale>
        <cfvo type="min"/>
        <cfvo type="percentile" val="50"/>
        <cfvo type="max"/>
        <color rgb="FFF8696B"/>
        <color rgb="FFFFEB84"/>
        <color rgb="FF63BE7B"/>
      </colorScale>
    </cfRule>
  </conditionalFormatting>
  <conditionalFormatting sqref="Q3">
    <cfRule type="cellIs" dxfId="62" priority="12" stopIfTrue="1" operator="between">
      <formula>0.9</formula>
      <formula>1</formula>
    </cfRule>
    <cfRule type="cellIs" dxfId="61" priority="13" stopIfTrue="1" operator="between">
      <formula>0.5</formula>
      <formula>0.89</formula>
    </cfRule>
    <cfRule type="cellIs" dxfId="60" priority="14" stopIfTrue="1" operator="between">
      <formula>0.2</formula>
      <formula>0.49</formula>
    </cfRule>
    <cfRule type="cellIs" dxfId="59" priority="15" stopIfTrue="1" operator="between">
      <formula>0</formula>
      <formula>0.19</formula>
    </cfRule>
  </conditionalFormatting>
  <conditionalFormatting sqref="Q4:Q39">
    <cfRule type="cellIs" dxfId="58" priority="8" stopIfTrue="1" operator="between">
      <formula>0.8</formula>
      <formula>1</formula>
    </cfRule>
    <cfRule type="cellIs" dxfId="57" priority="9" stopIfTrue="1" operator="between">
      <formula>0.5</formula>
      <formula>0.79</formula>
    </cfRule>
    <cfRule type="cellIs" dxfId="56" priority="10" stopIfTrue="1" operator="between">
      <formula>0.3</formula>
      <formula>0.49</formula>
    </cfRule>
    <cfRule type="cellIs" dxfId="55" priority="11" stopIfTrue="1" operator="between">
      <formula>0</formula>
      <formula>0.29</formula>
    </cfRule>
  </conditionalFormatting>
  <conditionalFormatting sqref="U4:U39">
    <cfRule type="containsText" dxfId="54" priority="5" operator="containsText" text="Incumple">
      <formula>NOT(ISERROR(SEARCH("Incumple",U4)))</formula>
    </cfRule>
    <cfRule type="containsText" dxfId="53" priority="6" operator="containsText" text="Cumple">
      <formula>NOT(ISERROR(SEARCH("Cumple",U4)))</formula>
    </cfRule>
  </conditionalFormatting>
  <conditionalFormatting sqref="U40">
    <cfRule type="cellIs" dxfId="52" priority="1" operator="between">
      <formula>0.19</formula>
      <formula>0</formula>
    </cfRule>
    <cfRule type="cellIs" dxfId="51" priority="2" operator="between">
      <formula>0.49</formula>
      <formula>0.2</formula>
    </cfRule>
    <cfRule type="cellIs" dxfId="50" priority="3" operator="between">
      <formula>0.89</formula>
      <formula>0.5</formula>
    </cfRule>
    <cfRule type="cellIs" dxfId="49" priority="4" operator="between">
      <formula>1</formula>
      <formula>0.9</formula>
    </cfRule>
  </conditionalFormatting>
  <dataValidations xWindow="453" yWindow="526" count="1">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N14:N24 N28:N30 N12" xr:uid="{00000000-0002-0000-0F00-000000000000}">
      <formula1>-9223372036854770000</formula1>
      <formula2>9223372036854770000</formula2>
    </dataValidation>
  </dataValidation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V51"/>
  <sheetViews>
    <sheetView zoomScale="70" zoomScaleNormal="70" workbookViewId="0">
      <selection activeCell="K11" sqref="K11"/>
    </sheetView>
  </sheetViews>
  <sheetFormatPr defaultColWidth="9.140625" defaultRowHeight="12.75" customHeight="1"/>
  <cols>
    <col min="1" max="1" width="9.140625" customWidth="1"/>
    <col min="2" max="2" width="25.5703125" style="567" customWidth="1"/>
    <col min="3" max="3" width="17" customWidth="1"/>
    <col min="4" max="8" width="9.140625" customWidth="1"/>
    <col min="9" max="10" width="10.7109375" customWidth="1"/>
    <col min="11" max="14" width="9.140625" customWidth="1"/>
    <col min="16" max="16" width="25.28515625" customWidth="1"/>
    <col min="17" max="17" width="16.42578125" customWidth="1"/>
  </cols>
  <sheetData>
    <row r="1" spans="1:22" ht="12.75" customHeight="1">
      <c r="A1" s="808" t="s">
        <v>2503</v>
      </c>
      <c r="B1" s="819" t="s">
        <v>2504</v>
      </c>
      <c r="C1" s="808" t="s">
        <v>2505</v>
      </c>
      <c r="D1" s="811" t="s">
        <v>2506</v>
      </c>
      <c r="E1" s="812"/>
      <c r="F1" s="812"/>
      <c r="G1" s="812"/>
      <c r="H1" s="813"/>
      <c r="I1" s="808" t="s">
        <v>2507</v>
      </c>
      <c r="J1" s="808" t="s">
        <v>2508</v>
      </c>
      <c r="K1" s="808" t="s">
        <v>2509</v>
      </c>
      <c r="L1" s="808"/>
      <c r="M1" s="808"/>
      <c r="N1" s="808"/>
      <c r="O1" s="808"/>
      <c r="P1" s="808" t="s">
        <v>2510</v>
      </c>
      <c r="Q1" s="810" t="s">
        <v>2511</v>
      </c>
    </row>
    <row r="2" spans="1:22">
      <c r="A2" s="808"/>
      <c r="B2" s="819"/>
      <c r="C2" s="808"/>
      <c r="D2" s="814">
        <v>100</v>
      </c>
      <c r="E2" s="820" t="s">
        <v>2512</v>
      </c>
      <c r="F2" s="821" t="s">
        <v>2513</v>
      </c>
      <c r="G2" s="822" t="s">
        <v>2514</v>
      </c>
      <c r="H2" s="823" t="s">
        <v>2515</v>
      </c>
      <c r="I2" s="808"/>
      <c r="J2" s="808"/>
      <c r="K2" s="809" t="s">
        <v>2516</v>
      </c>
      <c r="L2" s="809">
        <v>44742</v>
      </c>
      <c r="M2" s="809" t="s">
        <v>2517</v>
      </c>
      <c r="N2" s="809">
        <v>45100</v>
      </c>
      <c r="O2" s="809" t="s">
        <v>2518</v>
      </c>
      <c r="P2" s="808"/>
      <c r="Q2" s="810"/>
    </row>
    <row r="3" spans="1:22" ht="19.5" customHeight="1">
      <c r="A3" s="808"/>
      <c r="B3" s="819"/>
      <c r="C3" s="808"/>
      <c r="D3" s="815"/>
      <c r="E3" s="820"/>
      <c r="F3" s="821"/>
      <c r="G3" s="822"/>
      <c r="H3" s="823"/>
      <c r="I3" s="808"/>
      <c r="J3" s="808"/>
      <c r="K3" s="810"/>
      <c r="L3" s="810"/>
      <c r="M3" s="810"/>
      <c r="N3" s="810"/>
      <c r="O3" s="809"/>
      <c r="P3" s="808"/>
      <c r="Q3" s="810"/>
    </row>
    <row r="4" spans="1:22" ht="30" customHeight="1">
      <c r="A4" s="133">
        <v>1</v>
      </c>
      <c r="B4" s="611" t="s">
        <v>2519</v>
      </c>
      <c r="C4" s="133" t="s">
        <v>166</v>
      </c>
      <c r="D4" s="133">
        <f>COUNTIF(POSGRADOS!U7:U25,"=100%")</f>
        <v>10</v>
      </c>
      <c r="E4" s="133">
        <f>COUNTIF(POSGRADOS!U7:U25,"&gt;=80%")</f>
        <v>12</v>
      </c>
      <c r="F4" s="141">
        <f>(COUNTIF(POSGRADOS!U7:U25,"&gt;=50%"))-E4</f>
        <v>1</v>
      </c>
      <c r="G4" s="133">
        <f>(COUNTIF(POSGRADOS!U7:U25,"&gt;=30%"))-(SUM(E4:F4))</f>
        <v>3</v>
      </c>
      <c r="H4" s="133">
        <f>COUNTIF(POSGRADOS!U7:U25,"&lt;30%")</f>
        <v>3</v>
      </c>
      <c r="I4" s="133">
        <f>COUNTIF(POSGRADOS!W7:W25,"INCUMPLE")</f>
        <v>13</v>
      </c>
      <c r="J4" s="141">
        <f>SUM(E4,F4,G4,H4)</f>
        <v>19</v>
      </c>
      <c r="K4" s="134">
        <v>0.52</v>
      </c>
      <c r="L4" s="134">
        <v>0.77</v>
      </c>
      <c r="M4" s="135">
        <v>0.65</v>
      </c>
      <c r="N4" s="135">
        <v>0.71052631578947367</v>
      </c>
      <c r="O4" s="134">
        <f>POSGRADOS!U26</f>
        <v>0.71052631578947367</v>
      </c>
      <c r="P4" s="136">
        <f>COUNTIF(POSGRADOS!U7:U25,"&lt;100%")</f>
        <v>9</v>
      </c>
      <c r="Q4" s="136">
        <f>COUNTIF(POSGRADOS!U7:U25,"=100%")</f>
        <v>10</v>
      </c>
    </row>
    <row r="5" spans="1:22" ht="27" customHeight="1">
      <c r="A5" s="133">
        <v>2</v>
      </c>
      <c r="B5" s="611" t="s">
        <v>2520</v>
      </c>
      <c r="C5" s="133" t="s">
        <v>166</v>
      </c>
      <c r="D5" s="133">
        <f>COUNTIF('COMISIÓN ACADÉMICA'!U7:U13,"=100%")</f>
        <v>4</v>
      </c>
      <c r="E5" s="133">
        <f>COUNTIF('COMISIÓN ACADÉMICA'!U7:U13,"&gt;=80%")</f>
        <v>6</v>
      </c>
      <c r="F5" s="133">
        <f>(COUNTIF('COMISIÓN ACADÉMICA'!U7:U13,"&gt;=50%"))-E5</f>
        <v>0</v>
      </c>
      <c r="G5" s="133">
        <f>(COUNTIF('COMISIÓN ACADÉMICA'!U7:U13,"&gt;=30%"))-(SUM(E5:F5))</f>
        <v>1</v>
      </c>
      <c r="H5" s="133">
        <f>COUNTIF('COMISIÓN ACADÉMICA'!U7:U13,"&lt;30%")</f>
        <v>0</v>
      </c>
      <c r="I5" s="133">
        <f>COUNTIF('COMISIÓN ACADÉMICA'!W7:W13,"INCUMPLE")</f>
        <v>5</v>
      </c>
      <c r="J5" s="133">
        <f t="shared" ref="J4:J22" si="0">SUM(E5,F5,G5,H5)</f>
        <v>7</v>
      </c>
      <c r="K5" s="134">
        <v>0.81</v>
      </c>
      <c r="L5" s="134">
        <v>0.83</v>
      </c>
      <c r="M5" s="135">
        <v>0.69</v>
      </c>
      <c r="N5" s="139">
        <v>0.86428571428571443</v>
      </c>
      <c r="O5" s="134">
        <f>'COMISIÓN ACADÉMICA'!U14</f>
        <v>0.86428571428571443</v>
      </c>
      <c r="P5" s="136">
        <f>COUNTIF('COMISIÓN ACADÉMICA'!U7:U13,"&lt;100%")</f>
        <v>3</v>
      </c>
      <c r="Q5" s="136">
        <f>COUNTIF('COMISIÓN ACADÉMICA'!U7:U13,"=100%")</f>
        <v>4</v>
      </c>
    </row>
    <row r="6" spans="1:22" ht="27.75" customHeight="1">
      <c r="A6" s="133">
        <v>3</v>
      </c>
      <c r="B6" s="611" t="s">
        <v>2521</v>
      </c>
      <c r="C6" s="133" t="s">
        <v>166</v>
      </c>
      <c r="D6" s="133">
        <f>COUNTIF('EVALUACIÓN DOCENTE'!U7:U13,"=100%")</f>
        <v>0</v>
      </c>
      <c r="E6" s="133">
        <f>COUNTIF('EVALUACIÓN DOCENTE'!U7:U13,"&gt;=80%")</f>
        <v>0</v>
      </c>
      <c r="F6" s="133">
        <f>(COUNTIF('EVALUACIÓN DOCENTE'!U7:U13,"&gt;=50%"))-E6</f>
        <v>0</v>
      </c>
      <c r="G6" s="133">
        <f>(COUNTIF('EVALUACIÓN DOCENTE'!U7:U13,"&gt;=30%"))-(SUM(E6:F6))</f>
        <v>0</v>
      </c>
      <c r="H6" s="133">
        <f>COUNTIF('EVALUACIÓN DOCENTE'!U7:U13,"&lt;30%")</f>
        <v>7</v>
      </c>
      <c r="I6" s="133">
        <f>COUNTIF('EVALUACIÓN DOCENTE'!W7:W13,"INCUMPLE")</f>
        <v>7</v>
      </c>
      <c r="J6" s="133">
        <f>SUM(E6,F6,G6,H6)</f>
        <v>7</v>
      </c>
      <c r="K6" s="134">
        <v>0.1</v>
      </c>
      <c r="L6" s="134">
        <v>0.1</v>
      </c>
      <c r="M6" s="135">
        <v>0.03</v>
      </c>
      <c r="N6" s="135">
        <v>2.8571428571428574E-2</v>
      </c>
      <c r="O6" s="134">
        <f>'EVALUACIÓN DOCENTE'!U14</f>
        <v>2.8571428571428574E-2</v>
      </c>
      <c r="P6" s="136">
        <f>COUNTIF('EVALUACIÓN DOCENTE'!U7:U13,"&lt;100%")</f>
        <v>7</v>
      </c>
      <c r="Q6" s="136">
        <f>COUNTIF('EVALUACIÓN DOCENTE'!U7:U13,"=100%")</f>
        <v>0</v>
      </c>
    </row>
    <row r="7" spans="1:22" ht="33.75" customHeight="1">
      <c r="A7" s="133">
        <v>4</v>
      </c>
      <c r="B7" s="609" t="s">
        <v>2522</v>
      </c>
      <c r="C7" s="133" t="s">
        <v>166</v>
      </c>
      <c r="D7" s="133">
        <f>COUNTIF('COMISIÓN DE ESTUDIO'!U7:U17,"=100%")</f>
        <v>3</v>
      </c>
      <c r="E7" s="133">
        <f>COUNTIF('COMISIÓN DE ESTUDIO'!U7:U17,"&gt;=80%")</f>
        <v>9</v>
      </c>
      <c r="F7" s="133">
        <f>(COUNTIF('COMISIÓN DE ESTUDIO'!U7:U17,"&gt;=50%"))-E7</f>
        <v>0</v>
      </c>
      <c r="G7" s="133">
        <f>(COUNTIF('COMISIÓN DE ESTUDIO'!U7:U17,"&gt;=30%"))-(SUM(E7:F7))</f>
        <v>2</v>
      </c>
      <c r="H7" s="133">
        <f>COUNTIF('COMISIÓN DE ESTUDIO'!U7:U17,"&lt;30%")</f>
        <v>0</v>
      </c>
      <c r="I7" s="133">
        <f>COUNTIF('COMISIÓN DE ESTUDIO'!W7:W17,"INCUMPLE")</f>
        <v>7</v>
      </c>
      <c r="J7" s="133">
        <f>SUM(E7,F7,G7,H7)</f>
        <v>11</v>
      </c>
      <c r="K7" s="134">
        <v>0.89</v>
      </c>
      <c r="L7" s="134">
        <v>0.89</v>
      </c>
      <c r="M7" s="135">
        <v>0.75</v>
      </c>
      <c r="N7" s="139">
        <v>0.80909090909090908</v>
      </c>
      <c r="O7" s="134">
        <f>'COMISIÓN DE ESTUDIO'!U18</f>
        <v>0.80909090909090908</v>
      </c>
      <c r="P7" s="136">
        <f>COUNTIF('COMISIÓN DE ESTUDIO'!U7:U17,"&lt;100%")</f>
        <v>8</v>
      </c>
      <c r="Q7" s="136">
        <f>COUNTIF('COMISIÓN DE ESTUDIO'!U7:U17,"=100%")</f>
        <v>3</v>
      </c>
    </row>
    <row r="8" spans="1:22" ht="35.25" customHeight="1">
      <c r="A8" s="133">
        <v>5</v>
      </c>
      <c r="B8" s="609" t="s">
        <v>2523</v>
      </c>
      <c r="C8" s="133" t="s">
        <v>166</v>
      </c>
      <c r="D8" s="133">
        <f>COUNTIF('ESTÍMULOS ACADEMICOS'!U7:U11,"=100%")</f>
        <v>2</v>
      </c>
      <c r="E8" s="133">
        <f>COUNTIF('ESTÍMULOS ACADEMICOS'!U7:U11,"&gt;=80%")</f>
        <v>2</v>
      </c>
      <c r="F8" s="133">
        <f>(COUNTIF('ESTÍMULOS ACADEMICOS'!U7:U11,"&gt;=50%"))-E8</f>
        <v>1</v>
      </c>
      <c r="G8" s="133">
        <f>(COUNTIF('ESTÍMULOS ACADEMICOS'!U7:U11,"&gt;=30%"))-(SUM(E8:F8))</f>
        <v>1</v>
      </c>
      <c r="H8" s="133">
        <f>COUNTIF('ESTÍMULOS ACADEMICOS'!U7:U11,"&lt;30%")</f>
        <v>1</v>
      </c>
      <c r="I8" s="133">
        <f>COUNTIF('ESTÍMULOS ACADEMICOS'!W7:W11,"INCUMPLE")</f>
        <v>3</v>
      </c>
      <c r="J8" s="133">
        <f>SUM(E8,F8,G8,H8)</f>
        <v>5</v>
      </c>
      <c r="K8" s="134">
        <v>0.61</v>
      </c>
      <c r="L8" s="134">
        <v>0.61</v>
      </c>
      <c r="M8" s="135">
        <v>0.6</v>
      </c>
      <c r="N8" s="135">
        <v>0.6</v>
      </c>
      <c r="O8" s="134">
        <f>'ESTÍMULOS ACADEMICOS'!U12</f>
        <v>0.6</v>
      </c>
      <c r="P8" s="136">
        <f>COUNTIF('ESTÍMULOS ACADEMICOS'!U7:U11,"&lt;100%")</f>
        <v>3</v>
      </c>
      <c r="Q8" s="136">
        <f>COUNTIF('ESTÍMULOS ACADEMICOS'!U7:U11,"=100%")</f>
        <v>2</v>
      </c>
    </row>
    <row r="9" spans="1:22" ht="34.5" customHeight="1">
      <c r="A9" s="133">
        <v>6</v>
      </c>
      <c r="B9" s="609" t="s">
        <v>778</v>
      </c>
      <c r="C9" s="133" t="s">
        <v>2524</v>
      </c>
      <c r="D9" s="133">
        <f>COUNTIF('TALENTO HUMANO UNISALUD'!U7:U29,"=100%")</f>
        <v>4</v>
      </c>
      <c r="E9" s="133">
        <f>COUNTIF('TALENTO HUMANO UNISALUD'!U7:U29,"&gt;=80%")</f>
        <v>17</v>
      </c>
      <c r="F9" s="133">
        <f>(COUNTIF('TALENTO HUMANO UNISALUD'!U7:U29,"&gt;=50%"))-E9</f>
        <v>0</v>
      </c>
      <c r="G9" s="133">
        <f>(COUNTIF('TALENTO HUMANO UNISALUD'!U7:U29,"&gt;=30%"))-(SUM(E9:F9))</f>
        <v>2</v>
      </c>
      <c r="H9" s="133">
        <f>COUNTIF('TALENTO HUMANO UNISALUD'!U7:U29,"&lt;30%")</f>
        <v>4</v>
      </c>
      <c r="I9" s="133">
        <f>COUNTIF('TALENTO HUMANO UNISALUD'!W7:W29,"INCUMPLE")</f>
        <v>20</v>
      </c>
      <c r="J9" s="133">
        <f>SUM(E9,F9,G9,H9)</f>
        <v>23</v>
      </c>
      <c r="K9" s="134" t="s">
        <v>0</v>
      </c>
      <c r="L9" s="134">
        <v>0.25</v>
      </c>
      <c r="M9" s="135">
        <v>0.65</v>
      </c>
      <c r="N9" s="139">
        <v>0.65</v>
      </c>
      <c r="O9" s="134">
        <f>'TALENTO HUMANO UNISALUD'!U30</f>
        <v>0.65217391304347838</v>
      </c>
      <c r="P9" s="136">
        <f>COUNTIF('TALENTO HUMANO UNISALUD'!U7:U29,"&lt;100%")</f>
        <v>19</v>
      </c>
      <c r="Q9" s="136">
        <f>COUNTIF('TALENTO HUMANO UNISALUD'!U7:U29,"=100%")</f>
        <v>4</v>
      </c>
    </row>
    <row r="10" spans="1:22" ht="38.25" customHeight="1">
      <c r="A10" s="133">
        <v>7</v>
      </c>
      <c r="B10" s="609" t="s">
        <v>778</v>
      </c>
      <c r="C10" s="133" t="s">
        <v>2525</v>
      </c>
      <c r="D10" s="133">
        <f>COUNTIF('TALENTO HUMANO DIV.'!U7:U28,"=100%")</f>
        <v>13</v>
      </c>
      <c r="E10" s="133">
        <f>COUNTIF('TALENTO HUMANO DIV.'!U7:U28,"&gt;=80%")</f>
        <v>16</v>
      </c>
      <c r="F10" s="133">
        <f>(COUNTIF('TALENTO HUMANO DIV.'!U7:U28,"&gt;=50%"))-E10</f>
        <v>0</v>
      </c>
      <c r="G10" s="133">
        <f>(COUNTIF('TALENTO HUMANO DIV.'!U7:U28,"&gt;=30%"))-(SUM(E10:F10))</f>
        <v>2</v>
      </c>
      <c r="H10" s="133">
        <f>COUNTIF('TALENTO HUMANO DIV.'!U7:U28,"&lt;30%")</f>
        <v>1</v>
      </c>
      <c r="I10" s="133">
        <f>COUNTIF('TALENTO HUMANO DIV.'!W7:W28,"INCUMPLE")</f>
        <v>17</v>
      </c>
      <c r="J10" s="133">
        <f>SUM(E10,F10,G10,H10)</f>
        <v>19</v>
      </c>
      <c r="K10" s="134">
        <v>0.4</v>
      </c>
      <c r="L10" s="134">
        <v>0.54</v>
      </c>
      <c r="M10" s="135">
        <v>0.65</v>
      </c>
      <c r="N10" s="139">
        <v>0.81228070175438594</v>
      </c>
      <c r="O10" s="134">
        <f>'TALENTO HUMANO DIV.'!U29</f>
        <v>0.84912280701754383</v>
      </c>
      <c r="P10" s="136">
        <f>COUNTIF('TALENTO HUMANO DIV.'!U7:U28,"&lt;100%")</f>
        <v>6</v>
      </c>
      <c r="Q10" s="136">
        <f>COUNTIF('TALENTO HUMANO DIV.'!U7:U28,"=100%")</f>
        <v>13</v>
      </c>
    </row>
    <row r="11" spans="1:22" ht="38.25">
      <c r="A11" s="133">
        <v>8</v>
      </c>
      <c r="B11" s="609" t="s">
        <v>2526</v>
      </c>
      <c r="C11" s="133" t="s">
        <v>2527</v>
      </c>
      <c r="D11" s="133">
        <f>COUNTIF(SGSST!U7:U27,"=100%")</f>
        <v>6</v>
      </c>
      <c r="E11" s="133">
        <f>COUNTIF(SGSST!U7:U27,"&gt;=80%")</f>
        <v>7</v>
      </c>
      <c r="F11" s="133">
        <f>(COUNTIF(SGSST!U7:U27,"&gt;=50%"))-E11</f>
        <v>5</v>
      </c>
      <c r="G11" s="140">
        <f>(COUNTIF(SGSST!U7:U27,"&gt;=30%"))-(SUM(E11:F11))</f>
        <v>1</v>
      </c>
      <c r="H11" s="133">
        <f>COUNTIF(SGSST!U7:U27,"&lt;30%")</f>
        <v>8</v>
      </c>
      <c r="I11" s="133">
        <f>COUNTIF(SGSST!W7:W27,"INCUMPLE")</f>
        <v>18</v>
      </c>
      <c r="J11" s="133">
        <f t="shared" si="0"/>
        <v>21</v>
      </c>
      <c r="K11" s="134" t="s">
        <v>2528</v>
      </c>
      <c r="L11" s="134" t="s">
        <v>2528</v>
      </c>
      <c r="M11" s="135">
        <v>0</v>
      </c>
      <c r="N11" s="139">
        <v>0.35523809523809524</v>
      </c>
      <c r="O11" s="134">
        <f>SGSST!U28</f>
        <v>0.48095238095238091</v>
      </c>
      <c r="P11" s="136">
        <f>COUNTIF(SGSST!U7:U27,"&lt;100%")</f>
        <v>15</v>
      </c>
      <c r="Q11" s="136">
        <f>COUNTIF(SGSST!U7:U27,"=100%")</f>
        <v>6</v>
      </c>
      <c r="S11" s="569"/>
    </row>
    <row r="12" spans="1:22" ht="36.75" customHeight="1">
      <c r="A12" s="133">
        <v>9</v>
      </c>
      <c r="B12" s="609" t="s">
        <v>2529</v>
      </c>
      <c r="C12" s="133" t="s">
        <v>2530</v>
      </c>
      <c r="D12" s="133">
        <f>COUNTIF(MANTENIMIENTO!U7:U30,"=100%")</f>
        <v>21</v>
      </c>
      <c r="E12" s="133">
        <f>COUNTIF(MANTENIMIENTO!U7:U30,"&gt;=80%")</f>
        <v>22</v>
      </c>
      <c r="F12" s="133">
        <f>(COUNTIF(MANTENIMIENTO!U7:U30,"&gt;=50%"))-E12</f>
        <v>2</v>
      </c>
      <c r="G12" s="133">
        <f>(COUNTIF(MANTENIMIENTO!U7:U30,"&gt;=30%"))-(SUM(E12:F12))</f>
        <v>0</v>
      </c>
      <c r="H12" s="133">
        <f>COUNTIF(MANTENIMIENTO!U7:U30,"&lt;30%")</f>
        <v>0</v>
      </c>
      <c r="I12" s="133">
        <f>COUNTIF(MANTENIMIENTO!W7:W30,"INCUMPLE")</f>
        <v>22</v>
      </c>
      <c r="J12" s="133">
        <f t="shared" si="0"/>
        <v>24</v>
      </c>
      <c r="K12" s="134" t="s">
        <v>2528</v>
      </c>
      <c r="L12" s="134">
        <v>0.12</v>
      </c>
      <c r="M12" s="135">
        <v>0.79</v>
      </c>
      <c r="N12" s="139">
        <v>0.88958333333333339</v>
      </c>
      <c r="O12" s="134">
        <f>MANTENIMIENTO!U31</f>
        <v>0.95624999999999993</v>
      </c>
      <c r="P12" s="136">
        <f>COUNTIF(MANTENIMIENTO!U7:U30,"&lt;100%")</f>
        <v>3</v>
      </c>
      <c r="Q12" s="136">
        <f>COUNTIF(MANTENIMIENTO!U7:U30,"=100%")</f>
        <v>21</v>
      </c>
    </row>
    <row r="13" spans="1:22" ht="31.5" customHeight="1">
      <c r="A13" s="133">
        <v>10</v>
      </c>
      <c r="B13" s="609" t="s">
        <v>2531</v>
      </c>
      <c r="C13" s="133" t="s">
        <v>2532</v>
      </c>
      <c r="D13" s="133">
        <f>COUNTIF(CIC!U7:U19,"=100%")</f>
        <v>10</v>
      </c>
      <c r="E13" s="133">
        <f>COUNTIF(CIC!U7:U19,"&gt;=80%")</f>
        <v>12</v>
      </c>
      <c r="F13" s="133">
        <f>(COUNTIF(CIC!U7:U19,"&gt;=50%"))-E13</f>
        <v>0</v>
      </c>
      <c r="G13" s="133">
        <f>(COUNTIF(CIC!U7:U19,"&gt;=30%"))-(SUM(E13:F13))</f>
        <v>0</v>
      </c>
      <c r="H13" s="133">
        <f>COUNTIF(CIC!U7:U19,"&lt;30%")</f>
        <v>1</v>
      </c>
      <c r="I13" s="133">
        <f>COUNTIF(CIC!W7:W19,"INCUMPLE")</f>
        <v>6</v>
      </c>
      <c r="J13" s="133">
        <f t="shared" si="0"/>
        <v>13</v>
      </c>
      <c r="K13" s="134">
        <v>0.7</v>
      </c>
      <c r="L13" s="134">
        <v>0.78</v>
      </c>
      <c r="M13" s="135">
        <v>0.82</v>
      </c>
      <c r="N13" s="135">
        <v>0.83076923076923082</v>
      </c>
      <c r="O13" s="134">
        <f>CIC!U20</f>
        <v>0.89230769230769247</v>
      </c>
      <c r="P13" s="136">
        <f>COUNTIF(CIC!U7:U19,"&lt;100%")</f>
        <v>3</v>
      </c>
      <c r="Q13" s="136">
        <f>COUNTIF(CIC!U7:U19,"=100%")</f>
        <v>10</v>
      </c>
    </row>
    <row r="14" spans="1:22" ht="36">
      <c r="A14" s="133">
        <v>11</v>
      </c>
      <c r="B14" s="609" t="s">
        <v>2533</v>
      </c>
      <c r="C14" s="133" t="s">
        <v>2534</v>
      </c>
      <c r="D14" s="133">
        <f>COUNTIF('MATRICULA FINANCIERA'!U7:U10,"=100%")</f>
        <v>3</v>
      </c>
      <c r="E14" s="133">
        <f>COUNTIF('MATRICULA FINANCIERA'!U7:U10,"&gt;=80%")</f>
        <v>3</v>
      </c>
      <c r="F14" s="141">
        <f>(COUNTIF('MATRICULA FINANCIERA'!U7:U10,"&gt;=50%"))-E14</f>
        <v>0</v>
      </c>
      <c r="G14" s="141">
        <f>(COUNTIF('MATRICULA FINANCIERA'!U7:U10,"&gt;=30%"))-(SUM(E14:F14))</f>
        <v>1</v>
      </c>
      <c r="H14" s="141">
        <f>COUNTIF('MATRICULA FINANCIERA'!U7:U10,"&lt;30%")</f>
        <v>0</v>
      </c>
      <c r="I14" s="141">
        <f>COUNTIF('MATRICULA FINANCIERA'!W7,"INCUMPLE")</f>
        <v>1</v>
      </c>
      <c r="J14" s="133">
        <f t="shared" si="0"/>
        <v>4</v>
      </c>
      <c r="K14" s="134">
        <v>0.27</v>
      </c>
      <c r="L14" s="134">
        <v>0.67</v>
      </c>
      <c r="M14" s="135">
        <v>0.7</v>
      </c>
      <c r="N14" s="139">
        <v>0.85</v>
      </c>
      <c r="O14" s="134">
        <f>'MATRICULA FINANCIERA'!U12</f>
        <v>0.85</v>
      </c>
      <c r="P14" s="136">
        <f>COUNTIF('MATRICULA FINANCIERA'!U7:U10,"&lt;100%")</f>
        <v>1</v>
      </c>
      <c r="Q14" s="136">
        <f>COUNTIF('MATRICULA FINANCIERA'!U8:U10,"=100%")</f>
        <v>2</v>
      </c>
      <c r="S14" s="126" t="s">
        <v>2535</v>
      </c>
      <c r="T14" s="126" t="s">
        <v>2536</v>
      </c>
      <c r="U14" s="126" t="s">
        <v>2537</v>
      </c>
      <c r="V14" s="127" t="s">
        <v>2538</v>
      </c>
    </row>
    <row r="15" spans="1:22" ht="30.75" customHeight="1">
      <c r="A15" s="133">
        <v>12</v>
      </c>
      <c r="B15" s="609" t="s">
        <v>2539</v>
      </c>
      <c r="C15" s="133" t="s">
        <v>2532</v>
      </c>
      <c r="D15" s="133">
        <f>COUNTIF('LEGALIZACION AVANCES'!U7:U12,"=100%")</f>
        <v>2</v>
      </c>
      <c r="E15" s="133">
        <f>COUNTIF('LEGALIZACION AVANCES'!U7:U12,"&gt;=80%")</f>
        <v>4</v>
      </c>
      <c r="F15" s="133">
        <f>(COUNTIF('LEGALIZACION AVANCES'!U7:U12,"&gt;=50%"))-E15</f>
        <v>2</v>
      </c>
      <c r="G15" s="133">
        <f>(COUNTIF('LEGALIZACION AVANCES'!U7:U12,"&gt;=30%"))-(SUM(E15:F15))</f>
        <v>0</v>
      </c>
      <c r="H15" s="133">
        <f>COUNTIF('LEGALIZACION AVANCES'!U7:U12,"&lt;30%")</f>
        <v>0</v>
      </c>
      <c r="I15" s="133">
        <f>COUNTIF('LEGALIZACION AVANCES'!W7:W12,"INCUMPLE")</f>
        <v>5</v>
      </c>
      <c r="J15" s="133">
        <f t="shared" si="0"/>
        <v>6</v>
      </c>
      <c r="K15" s="134">
        <v>0.67</v>
      </c>
      <c r="L15" s="134">
        <v>0.7</v>
      </c>
      <c r="M15" s="135">
        <v>0.82</v>
      </c>
      <c r="N15" s="135">
        <v>0.82500000000000007</v>
      </c>
      <c r="O15" s="134">
        <f>'LEGALIZACION AVANCES'!U13</f>
        <v>0.82500000000000007</v>
      </c>
      <c r="P15" s="136">
        <f>COUNTIF('LEGALIZACION AVANCES'!U7:U12,"&lt;100%")</f>
        <v>4</v>
      </c>
      <c r="Q15" s="136">
        <f>COUNTIF('LEGALIZACION AVANCES'!U7:U12,"=100%")</f>
        <v>2</v>
      </c>
      <c r="S15" s="128" t="s">
        <v>2540</v>
      </c>
      <c r="T15" s="129" t="s">
        <v>2541</v>
      </c>
      <c r="U15" s="129">
        <f>COUNTIF(O4:O22, "&gt;=80%")</f>
        <v>11</v>
      </c>
      <c r="V15" s="129">
        <f>COUNTIF(O4:O22, "&gt;=90%")</f>
        <v>5</v>
      </c>
    </row>
    <row r="16" spans="1:22" ht="24">
      <c r="A16" s="133">
        <v>13</v>
      </c>
      <c r="B16" s="609" t="s">
        <v>2542</v>
      </c>
      <c r="C16" s="133" t="s">
        <v>2532</v>
      </c>
      <c r="D16" s="133">
        <f>COUNTIF(ESTAMPILLA!U7:U16,"=100%")</f>
        <v>5</v>
      </c>
      <c r="E16" s="133">
        <f>COUNTIF(ESTAMPILLA!U7:U16,"&gt;=80%")</f>
        <v>6</v>
      </c>
      <c r="F16" s="133">
        <f>(COUNTIF(ESTAMPILLA!U7:U16,"&gt;=50%"))-E16</f>
        <v>0</v>
      </c>
      <c r="G16" s="133">
        <f>(COUNTIF(ESTAMPILLA!U7:U16,"&gt;=30%"))-(SUM(E16:F16))</f>
        <v>0</v>
      </c>
      <c r="H16" s="133">
        <f>COUNTIF(ESTAMPILLA!U7:U16,"&lt;30%")</f>
        <v>1</v>
      </c>
      <c r="I16" s="133">
        <f>COUNTIF(ESTAMPILLA!W7:W16,"INCUMPLE")</f>
        <v>7</v>
      </c>
      <c r="J16" s="133">
        <f t="shared" si="0"/>
        <v>7</v>
      </c>
      <c r="K16" s="134">
        <v>0.72</v>
      </c>
      <c r="L16" s="134">
        <v>0.92</v>
      </c>
      <c r="M16" s="135">
        <v>0.98</v>
      </c>
      <c r="N16" s="135">
        <v>0.98333333333333339</v>
      </c>
      <c r="O16" s="134">
        <f>ESTAMPILLA!U17</f>
        <v>0.98333333333333339</v>
      </c>
      <c r="P16" s="136">
        <f>COUNTIF(ESTAMPILLA!U7:U16,"&lt;100%")</f>
        <v>2</v>
      </c>
      <c r="Q16" s="136">
        <f>COUNTIF(ESTAMPILLA!U7:U16,"=100%")</f>
        <v>5</v>
      </c>
      <c r="S16" s="128" t="s">
        <v>2543</v>
      </c>
      <c r="T16" s="129" t="s">
        <v>2544</v>
      </c>
      <c r="U16" s="129">
        <f>COUNTIF(O4:O22, "&gt;=50%")-(U15)</f>
        <v>4</v>
      </c>
    </row>
    <row r="17" spans="1:21" ht="36" customHeight="1">
      <c r="A17" s="133">
        <v>14</v>
      </c>
      <c r="B17" s="609" t="s">
        <v>2545</v>
      </c>
      <c r="C17" s="133" t="s">
        <v>1099</v>
      </c>
      <c r="D17" s="133">
        <f>COUNTIF('BIENESTAR UNIVERSITARIO'!U7:U31,"=100%")</f>
        <v>16</v>
      </c>
      <c r="E17" s="133">
        <f>COUNTIF('BIENESTAR UNIVERSITARIO'!U7:U31,"&gt;=80%")</f>
        <v>17</v>
      </c>
      <c r="F17" s="133">
        <f>(COUNTIF('BIENESTAR UNIVERSITARIO'!U7:U31,"&gt;=50%"))-E17</f>
        <v>2</v>
      </c>
      <c r="G17" s="133">
        <f>(COUNTIF('BIENESTAR UNIVERSITARIO'!U7:U31,"&gt;=30%"))-(SUM(E17:F17))</f>
        <v>4</v>
      </c>
      <c r="H17" s="133">
        <f>COUNTIF('BIENESTAR UNIVERSITARIO'!U7:U31,"&lt;30%")</f>
        <v>2</v>
      </c>
      <c r="I17" s="133">
        <f>COUNTIF('BIENESTAR UNIVERSITARIO'!W7:W31,"INCUMPLE")</f>
        <v>17</v>
      </c>
      <c r="J17" s="133">
        <f t="shared" si="0"/>
        <v>25</v>
      </c>
      <c r="K17" s="134">
        <v>0.72</v>
      </c>
      <c r="L17" s="134">
        <v>0.72</v>
      </c>
      <c r="M17" s="135">
        <v>0.66</v>
      </c>
      <c r="N17" s="135">
        <v>0.74133333333333329</v>
      </c>
      <c r="O17" s="134">
        <f>'BIENESTAR UNIVERSITARIO'!U32</f>
        <v>0.78266666666666651</v>
      </c>
      <c r="P17" s="136">
        <f>COUNTIF('BIENESTAR UNIVERSITARIO'!U7:U31,"&lt;100%")</f>
        <v>9</v>
      </c>
      <c r="Q17" s="136">
        <f>COUNTIF('BIENESTAR UNIVERSITARIO'!U7:U31,"=100%")</f>
        <v>16</v>
      </c>
      <c r="S17" s="128" t="s">
        <v>2546</v>
      </c>
      <c r="T17" s="129" t="s">
        <v>2547</v>
      </c>
      <c r="U17" s="129">
        <f>COUNTIF(O4:O22, "&gt;=30%")-(U15+U16)</f>
        <v>3</v>
      </c>
    </row>
    <row r="18" spans="1:21" ht="48">
      <c r="A18" s="133">
        <v>15</v>
      </c>
      <c r="B18" s="610" t="s">
        <v>2548</v>
      </c>
      <c r="C18" s="142" t="s">
        <v>2549</v>
      </c>
      <c r="D18" s="133">
        <f>COUNTIF('RELIQUIDACION MATRICULA'!U7:U20,"=100%")</f>
        <v>3</v>
      </c>
      <c r="E18" s="133">
        <f>COUNTIF('RELIQUIDACION MATRICULA'!U7:U20,"&gt;=80%")</f>
        <v>5</v>
      </c>
      <c r="F18" s="133">
        <f>(COUNTIF('RELIQUIDACION MATRICULA'!U7:U20,"&gt;=50%"))-E18</f>
        <v>1</v>
      </c>
      <c r="G18" s="140">
        <f>(COUNTIF('RELIQUIDACION MATRICULA'!U7:U20,"&gt;=30%"))-(SUM(E18:F18))</f>
        <v>3</v>
      </c>
      <c r="H18" s="133">
        <f>COUNTIF('RELIQUIDACION MATRICULA'!U7:U20,"&lt;30%")</f>
        <v>5</v>
      </c>
      <c r="I18" s="133">
        <f>COUNTIF('RELIQUIDACION MATRICULA'!W7:W20,"INCUMPLE")</f>
        <v>12</v>
      </c>
      <c r="J18" s="133">
        <f t="shared" si="0"/>
        <v>14</v>
      </c>
      <c r="K18" s="134" t="s">
        <v>2528</v>
      </c>
      <c r="L18" s="134" t="s">
        <v>2528</v>
      </c>
      <c r="M18" s="135">
        <v>0</v>
      </c>
      <c r="N18" s="135">
        <v>0.20714285714285716</v>
      </c>
      <c r="O18" s="134">
        <f>'RELIQUIDACION MATRICULA'!U21</f>
        <v>0.44285714285714289</v>
      </c>
      <c r="P18" s="136">
        <f>COUNTIF('RELIQUIDACION MATRICULA'!U7:U20,"&lt;100%")</f>
        <v>11</v>
      </c>
      <c r="Q18" s="136">
        <f>COUNTIF('RELIQUIDACION MATRICULA'!U7:U20,"=100%")</f>
        <v>3</v>
      </c>
      <c r="S18" s="128" t="s">
        <v>2550</v>
      </c>
      <c r="T18" s="129" t="s">
        <v>2551</v>
      </c>
      <c r="U18" s="129">
        <f>COUNTIF(O4:O22, "&lt;29%")</f>
        <v>1</v>
      </c>
    </row>
    <row r="19" spans="1:21" ht="48">
      <c r="A19" s="133">
        <v>16</v>
      </c>
      <c r="B19" s="609" t="s">
        <v>2552</v>
      </c>
      <c r="C19" s="133" t="s">
        <v>1438</v>
      </c>
      <c r="D19" s="133">
        <f>COUNTIF('GESTIÓN AMBIENTAL'!U7:U28,"=100%")</f>
        <v>15</v>
      </c>
      <c r="E19" s="133">
        <f>COUNTIF('GESTIÓN AMBIENTAL'!U7:U28,"&gt;=80%")</f>
        <v>21</v>
      </c>
      <c r="F19" s="133">
        <f>(COUNTIF('GESTIÓN AMBIENTAL'!U7:U28,"&gt;=50%"))-E19</f>
        <v>1</v>
      </c>
      <c r="G19" s="133">
        <f>(COUNTIF('GESTIÓN AMBIENTAL'!U7:U28,"&gt;=30%"))-(SUM(E19:F19))</f>
        <v>0</v>
      </c>
      <c r="H19" s="133">
        <f>COUNTIF('GESTIÓN AMBIENTAL'!U7:U28,"&lt;30%")</f>
        <v>0</v>
      </c>
      <c r="I19" s="133">
        <f>COUNTIF('GESTIÓN AMBIENTAL'!W16:W28,"INCUMPLE")</f>
        <v>10</v>
      </c>
      <c r="J19" s="133">
        <f t="shared" si="0"/>
        <v>22</v>
      </c>
      <c r="K19" s="134">
        <v>0.89</v>
      </c>
      <c r="L19" s="134">
        <v>0.93</v>
      </c>
      <c r="M19" s="135">
        <v>0.94</v>
      </c>
      <c r="N19" s="135">
        <v>0.94318181818181823</v>
      </c>
      <c r="O19" s="134">
        <f>'GESTIÓN AMBIENTAL'!U29</f>
        <v>0.95227272727272727</v>
      </c>
      <c r="P19" s="136">
        <f>COUNTIF('GESTIÓN AMBIENTAL'!U7:U28,"&lt;100%")</f>
        <v>7</v>
      </c>
      <c r="Q19" s="136">
        <f>COUNTIF('GESTIÓN AMBIENTAL'!U7:U28,"=100%")</f>
        <v>15</v>
      </c>
      <c r="S19" s="816" t="s">
        <v>2553</v>
      </c>
      <c r="T19" s="817"/>
      <c r="U19" s="124">
        <f>SUM(U15:U18)</f>
        <v>19</v>
      </c>
    </row>
    <row r="20" spans="1:21" ht="51" customHeight="1">
      <c r="A20" s="133">
        <v>17</v>
      </c>
      <c r="B20" s="610" t="s">
        <v>2554</v>
      </c>
      <c r="C20" s="142" t="s">
        <v>2549</v>
      </c>
      <c r="D20" s="133">
        <f>COUNTIF('REGISTRO DE NOTAS'!U7:U14,"=100%")</f>
        <v>1</v>
      </c>
      <c r="E20" s="133">
        <f>COUNTIF('REGISTRO DE NOTAS'!U7:U14,"&gt;=80%")</f>
        <v>1</v>
      </c>
      <c r="F20" s="133">
        <f>(COUNTIF('REGISTRO DE NOTAS'!U7:U14,"&gt;=50%"))-E20</f>
        <v>0</v>
      </c>
      <c r="G20" s="140">
        <f>(COUNTIF('REGISTRO DE NOTAS'!U7:U14,"&gt;=30%"))-(SUM(E20:F20))</f>
        <v>5</v>
      </c>
      <c r="H20" s="133">
        <f>COUNTIF('REGISTRO DE NOTAS'!U7:U14,"&lt;30%")</f>
        <v>2</v>
      </c>
      <c r="I20" s="133">
        <f>COUNTIF('REGISTRO DE NOTAS'!W7:W14,"INCUMPLE")</f>
        <v>4</v>
      </c>
      <c r="J20" s="133">
        <f t="shared" si="0"/>
        <v>8</v>
      </c>
      <c r="K20" s="134" t="s">
        <v>2528</v>
      </c>
      <c r="L20" s="134">
        <f>'REGISTRO DE NOTAS'!U15</f>
        <v>0.33430555555555558</v>
      </c>
      <c r="M20" s="135">
        <v>0.03</v>
      </c>
      <c r="N20" s="139">
        <v>0.33430555555555558</v>
      </c>
      <c r="O20" s="134">
        <f>'REGISTRO DE NOTAS'!U15</f>
        <v>0.33430555555555558</v>
      </c>
      <c r="P20" s="136">
        <f>COUNTIF('REGISTRO DE NOTAS'!U7:U14,"&lt;100%")</f>
        <v>7</v>
      </c>
      <c r="Q20" s="136">
        <f>COUNTIF('REGISTRO DE NOTAS'!U7:U14,"=100%")</f>
        <v>1</v>
      </c>
    </row>
    <row r="21" spans="1:21" ht="25.5" customHeight="1">
      <c r="A21" s="133">
        <v>18</v>
      </c>
      <c r="B21" s="609" t="s">
        <v>2555</v>
      </c>
      <c r="C21" s="133" t="s">
        <v>2556</v>
      </c>
      <c r="D21" s="133">
        <f>COUNTIF(TRANSPORTE.!U7:U30,"=100%")</f>
        <v>20</v>
      </c>
      <c r="E21" s="133">
        <f>COUNTIF(TRANSPORTE.!U7:U30,"&gt;=80%")</f>
        <v>20</v>
      </c>
      <c r="F21" s="133">
        <f>(COUNTIF(TRANSPORTE.!U7:U30,"&gt;=50%"))-E21</f>
        <v>4</v>
      </c>
      <c r="G21" s="133">
        <f>(COUNTIF(TRANSPORTE.!U7:U30,"&gt;=30%"))-(SUM(E21:F21))</f>
        <v>0</v>
      </c>
      <c r="H21" s="133">
        <f>COUNTIF(TRANSPORTE.!U7:U30,"&lt;30%")</f>
        <v>0</v>
      </c>
      <c r="I21" s="133">
        <f>COUNTIF(TRANSPORTE.!W7:W30,"INCUMPLE")</f>
        <v>22</v>
      </c>
      <c r="J21" s="133">
        <f t="shared" si="0"/>
        <v>24</v>
      </c>
      <c r="K21" s="134">
        <v>0.78</v>
      </c>
      <c r="L21" s="134">
        <v>0.66</v>
      </c>
      <c r="M21" s="135">
        <v>0.94</v>
      </c>
      <c r="N21" s="135">
        <v>0.94166666666666654</v>
      </c>
      <c r="O21" s="134">
        <f>TRANSPORTE.!U31</f>
        <v>0.94166666666666654</v>
      </c>
      <c r="P21" s="138">
        <f>COUNTIF(TRANSPORTE.!U7:U30,"&lt;100%")</f>
        <v>4</v>
      </c>
      <c r="Q21" s="138">
        <f>COUNTIF(TRANSPORTE.!U7:U30,"=100%")</f>
        <v>20</v>
      </c>
    </row>
    <row r="22" spans="1:21" ht="32.25" customHeight="1">
      <c r="A22" s="133">
        <v>19</v>
      </c>
      <c r="B22" s="609" t="s">
        <v>2557</v>
      </c>
      <c r="C22" s="133" t="s">
        <v>2557</v>
      </c>
      <c r="D22" s="133">
        <f>COUNTIF('ARCHIVO HISTÓRICO '!U7:U15,"=100%")</f>
        <v>9</v>
      </c>
      <c r="E22" s="133">
        <f>COUNTIF('ARCHIVO HISTÓRICO '!U7:U15,"&gt;=80%")</f>
        <v>9</v>
      </c>
      <c r="F22" s="133">
        <f>(COUNTIF('ARCHIVO HISTÓRICO '!U7:U15,"&gt;=50%"))-E22</f>
        <v>0</v>
      </c>
      <c r="G22" s="133">
        <f>(COUNTIF('ARCHIVO HISTÓRICO '!U7:U15,"&gt;=30%"))-(SUM(E22:F22))</f>
        <v>0</v>
      </c>
      <c r="H22" s="133">
        <f>COUNTIF('ARCHIVO HISTÓRICO '!U7:U15,"&lt;30%")</f>
        <v>0</v>
      </c>
      <c r="I22" s="133">
        <f>COUNTIF('ARCHIVO HISTÓRICO '!W7:W15,"INCUMPLE")</f>
        <v>3</v>
      </c>
      <c r="J22" s="133">
        <f t="shared" si="0"/>
        <v>9</v>
      </c>
      <c r="K22" s="134">
        <v>0.87</v>
      </c>
      <c r="L22" s="134">
        <v>0.87</v>
      </c>
      <c r="M22" s="135">
        <v>0.89</v>
      </c>
      <c r="N22" s="135">
        <v>0.95099372509722513</v>
      </c>
      <c r="O22" s="134">
        <f>'ARCHIVO HISTÓRICO '!U16</f>
        <v>1</v>
      </c>
      <c r="P22" s="136">
        <f>COUNTIF('ARCHIVO HISTÓRICO '!U7:U15,"&lt;100%")</f>
        <v>0</v>
      </c>
      <c r="Q22" s="136">
        <f>COUNTIF('ARCHIVO HISTÓRICO '!U7:U15,"=100%")</f>
        <v>9</v>
      </c>
    </row>
    <row r="23" spans="1:21" ht="18" customHeight="1">
      <c r="A23" s="818" t="s">
        <v>2558</v>
      </c>
      <c r="B23" s="818"/>
      <c r="C23" s="818"/>
      <c r="D23" s="133">
        <f>SUM(D7:D22)</f>
        <v>133</v>
      </c>
      <c r="E23" s="133">
        <f>SUM(E7:E22)</f>
        <v>171</v>
      </c>
      <c r="F23" s="133">
        <f t="shared" ref="F23:I23" si="1">SUM(F7:F22)</f>
        <v>18</v>
      </c>
      <c r="G23" s="133">
        <f t="shared" si="1"/>
        <v>21</v>
      </c>
      <c r="H23" s="133">
        <f t="shared" si="1"/>
        <v>25</v>
      </c>
      <c r="I23" s="133">
        <f t="shared" si="1"/>
        <v>174</v>
      </c>
      <c r="J23" s="133">
        <f>SUM(J7:J22)</f>
        <v>235</v>
      </c>
      <c r="K23" s="134">
        <v>0.63</v>
      </c>
      <c r="L23" s="134">
        <v>0.7</v>
      </c>
      <c r="M23" s="135">
        <v>0.67</v>
      </c>
      <c r="N23" s="135">
        <v>0.75182275928206499</v>
      </c>
      <c r="O23" s="134">
        <f>AVERAGE(O4:O22)</f>
        <v>0.73449385544266921</v>
      </c>
      <c r="P23" s="136">
        <f>SUM(P4:P22)</f>
        <v>121</v>
      </c>
      <c r="Q23" s="136">
        <f>SUM(Q4:Q22)</f>
        <v>146</v>
      </c>
    </row>
    <row r="24" spans="1:21">
      <c r="A24" s="123"/>
      <c r="B24" s="608"/>
      <c r="C24" s="123"/>
      <c r="D24" s="123"/>
      <c r="E24" s="123"/>
      <c r="F24" s="123"/>
      <c r="G24" s="123"/>
      <c r="H24" s="123"/>
      <c r="I24" s="123"/>
      <c r="J24" s="123"/>
      <c r="K24" s="123"/>
      <c r="L24" s="123"/>
      <c r="M24" s="123"/>
      <c r="N24" s="123"/>
      <c r="O24" s="123"/>
      <c r="P24" s="123"/>
      <c r="Q24" s="123"/>
    </row>
    <row r="25" spans="1:21">
      <c r="A25" s="133">
        <v>1</v>
      </c>
      <c r="B25" s="133" t="s">
        <v>2559</v>
      </c>
      <c r="M25" s="569"/>
      <c r="N25" s="569"/>
    </row>
    <row r="26" spans="1:21">
      <c r="A26" s="137">
        <v>2</v>
      </c>
      <c r="B26" s="133" t="s">
        <v>2560</v>
      </c>
      <c r="P26">
        <v>366</v>
      </c>
    </row>
    <row r="27" spans="1:21">
      <c r="A27" s="137">
        <v>3</v>
      </c>
      <c r="B27" s="133" t="s">
        <v>2561</v>
      </c>
      <c r="P27">
        <f>P26-82</f>
        <v>284</v>
      </c>
    </row>
    <row r="28" spans="1:21">
      <c r="A28" s="133">
        <v>4</v>
      </c>
      <c r="B28" s="133" t="s">
        <v>2562</v>
      </c>
    </row>
    <row r="29" spans="1:21"/>
    <row r="30" spans="1:21"/>
    <row r="31" spans="1:21"/>
    <row r="32" spans="1:21" ht="72">
      <c r="B32" s="132" t="s">
        <v>2563</v>
      </c>
      <c r="C32" s="132" t="s">
        <v>2564</v>
      </c>
      <c r="D32" s="132"/>
      <c r="E32" s="132" t="s">
        <v>2565</v>
      </c>
      <c r="F32" s="132" t="s">
        <v>2566</v>
      </c>
      <c r="G32" s="132" t="s">
        <v>2567</v>
      </c>
      <c r="H32" s="132"/>
      <c r="I32" s="132" t="s">
        <v>2568</v>
      </c>
      <c r="J32" s="132" t="s">
        <v>2569</v>
      </c>
      <c r="K32" s="132" t="s">
        <v>2570</v>
      </c>
      <c r="L32" s="132" t="s">
        <v>2571</v>
      </c>
    </row>
    <row r="33" spans="2:12">
      <c r="B33" s="129" t="s">
        <v>2522</v>
      </c>
      <c r="C33" s="130">
        <f>O7</f>
        <v>0.80909090909090908</v>
      </c>
      <c r="D33" s="130"/>
      <c r="E33" s="131">
        <v>0.3</v>
      </c>
      <c r="F33" s="131">
        <v>0.5</v>
      </c>
      <c r="G33" s="131">
        <v>0.8</v>
      </c>
      <c r="H33" s="131"/>
      <c r="I33" s="125">
        <v>0.9</v>
      </c>
      <c r="J33" s="125">
        <v>0.6</v>
      </c>
      <c r="K33" s="125">
        <v>0.3</v>
      </c>
      <c r="L33" s="125">
        <v>0.67</v>
      </c>
    </row>
    <row r="34" spans="2:12">
      <c r="B34" s="129" t="s">
        <v>2531</v>
      </c>
      <c r="C34" s="130">
        <f>O13</f>
        <v>0.89230769230769247</v>
      </c>
      <c r="D34" s="130"/>
      <c r="E34" s="131">
        <v>0.3</v>
      </c>
      <c r="F34" s="131">
        <v>0.5</v>
      </c>
      <c r="G34" s="131">
        <v>0.8</v>
      </c>
      <c r="H34" s="131"/>
      <c r="I34" s="125">
        <v>0.9</v>
      </c>
      <c r="J34" s="125">
        <v>0.6</v>
      </c>
      <c r="K34" s="125">
        <v>0.3</v>
      </c>
      <c r="L34" s="125">
        <v>0.67</v>
      </c>
    </row>
    <row r="35" spans="2:12">
      <c r="B35" s="129" t="s">
        <v>2519</v>
      </c>
      <c r="C35" s="130">
        <f>O4</f>
        <v>0.71052631578947367</v>
      </c>
      <c r="D35" s="130"/>
      <c r="E35" s="131">
        <v>0.3</v>
      </c>
      <c r="F35" s="131">
        <v>0.5</v>
      </c>
      <c r="G35" s="131">
        <v>0.8</v>
      </c>
      <c r="H35" s="131"/>
      <c r="I35" s="125">
        <v>0.9</v>
      </c>
      <c r="J35" s="125">
        <v>0.6</v>
      </c>
      <c r="K35" s="125">
        <v>0.3</v>
      </c>
      <c r="L35" s="125">
        <v>0.67</v>
      </c>
    </row>
    <row r="36" spans="2:12">
      <c r="B36" s="129" t="s">
        <v>2552</v>
      </c>
      <c r="C36" s="130">
        <f>O19</f>
        <v>0.95227272727272727</v>
      </c>
      <c r="D36" s="130"/>
      <c r="E36" s="131">
        <v>0.3</v>
      </c>
      <c r="F36" s="131">
        <v>0.5</v>
      </c>
      <c r="G36" s="131">
        <v>0.8</v>
      </c>
      <c r="H36" s="131"/>
      <c r="I36" s="125">
        <v>0.9</v>
      </c>
      <c r="J36" s="125">
        <v>0.6</v>
      </c>
      <c r="K36" s="125">
        <v>0.3</v>
      </c>
      <c r="L36" s="125">
        <v>0.67</v>
      </c>
    </row>
    <row r="37" spans="2:12">
      <c r="B37" s="129" t="s">
        <v>2545</v>
      </c>
      <c r="C37" s="130">
        <f>O17</f>
        <v>0.78266666666666651</v>
      </c>
      <c r="D37" s="130"/>
      <c r="E37" s="131">
        <v>0.3</v>
      </c>
      <c r="F37" s="131">
        <v>0.5</v>
      </c>
      <c r="G37" s="131">
        <v>0.8</v>
      </c>
      <c r="H37" s="131"/>
      <c r="I37" s="125">
        <v>0.9</v>
      </c>
      <c r="J37" s="125">
        <v>0.6</v>
      </c>
      <c r="K37" s="125">
        <v>0.3</v>
      </c>
      <c r="L37" s="125">
        <v>0.67</v>
      </c>
    </row>
    <row r="38" spans="2:12">
      <c r="B38" s="129" t="s">
        <v>2520</v>
      </c>
      <c r="C38" s="130">
        <f>O5</f>
        <v>0.86428571428571443</v>
      </c>
      <c r="D38" s="130"/>
      <c r="E38" s="131">
        <v>0.3</v>
      </c>
      <c r="F38" s="131">
        <v>0.5</v>
      </c>
      <c r="G38" s="131">
        <v>0.8</v>
      </c>
      <c r="H38" s="131"/>
      <c r="I38" s="125">
        <v>0.9</v>
      </c>
      <c r="J38" s="125">
        <v>0.6</v>
      </c>
      <c r="K38" s="125">
        <v>0.3</v>
      </c>
      <c r="L38" s="125">
        <v>0.67</v>
      </c>
    </row>
    <row r="39" spans="2:12">
      <c r="B39" s="129" t="s">
        <v>2521</v>
      </c>
      <c r="C39" s="130">
        <f>O6</f>
        <v>2.8571428571428574E-2</v>
      </c>
      <c r="D39" s="130"/>
      <c r="E39" s="131">
        <v>0.3</v>
      </c>
      <c r="F39" s="131">
        <v>0.5</v>
      </c>
      <c r="G39" s="131">
        <v>0.8</v>
      </c>
      <c r="H39" s="131"/>
      <c r="I39" s="125">
        <v>0.9</v>
      </c>
      <c r="J39" s="125">
        <v>0.6</v>
      </c>
      <c r="K39" s="125">
        <v>0.3</v>
      </c>
      <c r="L39" s="125">
        <v>0.67</v>
      </c>
    </row>
    <row r="40" spans="2:12">
      <c r="B40" s="129" t="s">
        <v>2555</v>
      </c>
      <c r="C40" s="130">
        <f>O21</f>
        <v>0.94166666666666654</v>
      </c>
      <c r="D40" s="130"/>
      <c r="E40" s="131">
        <v>0.3</v>
      </c>
      <c r="F40" s="131">
        <v>0.5</v>
      </c>
      <c r="G40" s="131">
        <v>0.8</v>
      </c>
      <c r="H40" s="131"/>
      <c r="I40" s="125">
        <v>0.9</v>
      </c>
      <c r="J40" s="125">
        <v>0.6</v>
      </c>
      <c r="K40" s="125">
        <v>0.3</v>
      </c>
      <c r="L40" s="125">
        <v>0.67</v>
      </c>
    </row>
    <row r="41" spans="2:12">
      <c r="B41" s="129" t="s">
        <v>2557</v>
      </c>
      <c r="C41" s="130">
        <f>O22</f>
        <v>1</v>
      </c>
      <c r="D41" s="130"/>
      <c r="E41" s="131">
        <v>0.3</v>
      </c>
      <c r="F41" s="131">
        <v>0.5</v>
      </c>
      <c r="G41" s="131">
        <v>0.8</v>
      </c>
      <c r="H41" s="131"/>
      <c r="I41" s="125">
        <v>0.9</v>
      </c>
      <c r="J41" s="125">
        <v>0.6</v>
      </c>
      <c r="K41" s="125">
        <v>0.3</v>
      </c>
      <c r="L41" s="125">
        <v>0.67</v>
      </c>
    </row>
    <row r="42" spans="2:12">
      <c r="B42" s="129" t="s">
        <v>778</v>
      </c>
      <c r="C42" s="130">
        <f>O10</f>
        <v>0.84912280701754383</v>
      </c>
      <c r="D42" s="130"/>
      <c r="E42" s="131">
        <v>0.3</v>
      </c>
      <c r="F42" s="131">
        <v>0.5</v>
      </c>
      <c r="G42" s="131">
        <v>0.8</v>
      </c>
      <c r="H42" s="131"/>
      <c r="I42" s="125">
        <v>0.9</v>
      </c>
      <c r="J42" s="125">
        <v>0.6</v>
      </c>
      <c r="K42" s="125">
        <v>0.3</v>
      </c>
      <c r="L42" s="125">
        <v>0.67</v>
      </c>
    </row>
    <row r="43" spans="2:12" ht="18" customHeight="1">
      <c r="B43" s="129" t="s">
        <v>2523</v>
      </c>
      <c r="C43" s="130">
        <f>O8</f>
        <v>0.6</v>
      </c>
      <c r="D43" s="130"/>
      <c r="E43" s="131">
        <v>0.3</v>
      </c>
      <c r="F43" s="131">
        <v>0.5</v>
      </c>
      <c r="G43" s="131">
        <v>0.8</v>
      </c>
      <c r="H43" s="131"/>
      <c r="I43" s="125">
        <v>0.9</v>
      </c>
      <c r="J43" s="125">
        <v>0.6</v>
      </c>
      <c r="K43" s="125">
        <v>0.3</v>
      </c>
      <c r="L43" s="125">
        <v>0.67</v>
      </c>
    </row>
    <row r="44" spans="2:12">
      <c r="B44" s="129" t="s">
        <v>2542</v>
      </c>
      <c r="C44" s="130">
        <f>O16</f>
        <v>0.98333333333333339</v>
      </c>
      <c r="D44" s="130"/>
      <c r="E44" s="131">
        <v>0.3</v>
      </c>
      <c r="F44" s="131">
        <v>0.5</v>
      </c>
      <c r="G44" s="131">
        <v>0.8</v>
      </c>
      <c r="H44" s="131"/>
      <c r="I44" s="125">
        <v>0.9</v>
      </c>
      <c r="J44" s="125">
        <v>0.6</v>
      </c>
      <c r="K44" s="125">
        <v>0.3</v>
      </c>
      <c r="L44" s="125">
        <v>0.67</v>
      </c>
    </row>
    <row r="45" spans="2:12">
      <c r="B45" s="129" t="s">
        <v>2572</v>
      </c>
      <c r="C45" s="130">
        <f>O9</f>
        <v>0.65217391304347838</v>
      </c>
      <c r="D45" s="130"/>
      <c r="E45" s="131">
        <v>0.3</v>
      </c>
      <c r="F45" s="131">
        <v>0.5</v>
      </c>
      <c r="G45" s="131">
        <v>0.8</v>
      </c>
      <c r="H45" s="131"/>
      <c r="I45" s="125">
        <v>0.9</v>
      </c>
      <c r="J45" s="125">
        <v>0.6</v>
      </c>
      <c r="K45" s="125">
        <v>0.3</v>
      </c>
      <c r="L45" s="125">
        <v>0.67</v>
      </c>
    </row>
    <row r="46" spans="2:12">
      <c r="B46" s="129" t="s">
        <v>2539</v>
      </c>
      <c r="C46" s="130">
        <f>O15</f>
        <v>0.82500000000000007</v>
      </c>
      <c r="D46" s="130"/>
      <c r="E46" s="131">
        <v>0.3</v>
      </c>
      <c r="F46" s="131">
        <v>0.5</v>
      </c>
      <c r="G46" s="131">
        <v>0.8</v>
      </c>
      <c r="H46" s="131"/>
      <c r="I46" s="125">
        <v>0.9</v>
      </c>
      <c r="J46" s="125">
        <v>0.6</v>
      </c>
      <c r="K46" s="125">
        <v>0.3</v>
      </c>
      <c r="L46" s="125">
        <v>0.67</v>
      </c>
    </row>
    <row r="47" spans="2:12" ht="21.75" customHeight="1">
      <c r="B47" s="129" t="s">
        <v>2573</v>
      </c>
      <c r="C47" s="130">
        <f>O12</f>
        <v>0.95624999999999993</v>
      </c>
      <c r="D47" s="130"/>
      <c r="E47" s="131">
        <v>0.3</v>
      </c>
      <c r="F47" s="131">
        <v>0.5</v>
      </c>
      <c r="G47" s="131">
        <v>0.8</v>
      </c>
      <c r="H47" s="131"/>
      <c r="I47" s="125">
        <v>0.9</v>
      </c>
      <c r="J47" s="125">
        <v>0.6</v>
      </c>
      <c r="K47" s="125">
        <v>0.3</v>
      </c>
      <c r="L47" s="125">
        <v>0.67</v>
      </c>
    </row>
    <row r="48" spans="2:12">
      <c r="B48" s="129" t="s">
        <v>2574</v>
      </c>
      <c r="C48" s="130">
        <f>O11</f>
        <v>0.48095238095238091</v>
      </c>
      <c r="D48" s="130"/>
      <c r="E48" s="131">
        <v>0.3</v>
      </c>
      <c r="F48" s="131">
        <v>0.5</v>
      </c>
      <c r="G48" s="131">
        <v>0.8</v>
      </c>
      <c r="H48" s="131"/>
      <c r="I48" s="125">
        <v>0.9</v>
      </c>
      <c r="J48" s="125">
        <v>0.6</v>
      </c>
      <c r="K48" s="125">
        <v>0.3</v>
      </c>
      <c r="L48" s="125">
        <v>0.67</v>
      </c>
    </row>
    <row r="49" spans="2:12">
      <c r="B49" s="129" t="s">
        <v>2526</v>
      </c>
      <c r="C49" s="130">
        <f>O18</f>
        <v>0.44285714285714289</v>
      </c>
      <c r="D49" s="130"/>
      <c r="E49" s="131">
        <v>0.3</v>
      </c>
      <c r="F49" s="131">
        <v>0.5</v>
      </c>
      <c r="G49" s="131">
        <v>0.8</v>
      </c>
      <c r="H49" s="131"/>
      <c r="I49" s="125">
        <v>0.9</v>
      </c>
      <c r="J49" s="125">
        <v>0.6</v>
      </c>
      <c r="K49" s="125">
        <v>0.3</v>
      </c>
      <c r="L49" s="125">
        <v>0.67</v>
      </c>
    </row>
    <row r="50" spans="2:12">
      <c r="B50" s="129" t="s">
        <v>2575</v>
      </c>
      <c r="C50" s="130">
        <f>O20</f>
        <v>0.33430555555555558</v>
      </c>
      <c r="D50" s="130"/>
      <c r="E50" s="131">
        <v>0.3</v>
      </c>
      <c r="F50" s="131">
        <v>0.5</v>
      </c>
      <c r="G50" s="131">
        <v>0.8</v>
      </c>
      <c r="H50" s="131"/>
      <c r="I50" s="125">
        <v>0.9</v>
      </c>
      <c r="J50" s="125">
        <v>0.6</v>
      </c>
      <c r="K50" s="125">
        <v>0.3</v>
      </c>
      <c r="L50" s="125">
        <v>0.67</v>
      </c>
    </row>
    <row r="51" spans="2:12">
      <c r="B51" s="129" t="s">
        <v>2533</v>
      </c>
      <c r="C51" s="130">
        <f>O14</f>
        <v>0.85</v>
      </c>
      <c r="D51" s="130"/>
      <c r="E51" s="131">
        <v>0.3</v>
      </c>
      <c r="F51" s="131">
        <v>0.5</v>
      </c>
      <c r="G51" s="131">
        <v>0.8</v>
      </c>
      <c r="H51" s="131"/>
      <c r="I51" s="125">
        <v>0.9</v>
      </c>
      <c r="J51" s="125">
        <v>0.6</v>
      </c>
      <c r="K51" s="125">
        <v>0.3</v>
      </c>
      <c r="L51" s="125">
        <v>0.67</v>
      </c>
    </row>
  </sheetData>
  <autoFilter ref="A1:Q3" xr:uid="{00000000-0001-0000-1C00-000000000000}">
    <filterColumn colId="3" showButton="0"/>
    <filterColumn colId="4" showButton="0"/>
    <filterColumn colId="5" showButton="0"/>
    <filterColumn colId="6" showButton="0"/>
    <filterColumn colId="10" showButton="0"/>
    <filterColumn colId="11" showButton="0"/>
    <filterColumn colId="12" showButton="0"/>
    <filterColumn colId="13" showButton="0"/>
  </autoFilter>
  <mergeCells count="21">
    <mergeCell ref="S19:T19"/>
    <mergeCell ref="K1:O1"/>
    <mergeCell ref="O2:O3"/>
    <mergeCell ref="A23:C23"/>
    <mergeCell ref="A1:A3"/>
    <mergeCell ref="B1:B3"/>
    <mergeCell ref="C1:C3"/>
    <mergeCell ref="Q1:Q3"/>
    <mergeCell ref="E2:E3"/>
    <mergeCell ref="F2:F3"/>
    <mergeCell ref="G2:G3"/>
    <mergeCell ref="H2:H3"/>
    <mergeCell ref="K2:K3"/>
    <mergeCell ref="M2:M3"/>
    <mergeCell ref="L2:L3"/>
    <mergeCell ref="I1:I3"/>
    <mergeCell ref="J1:J3"/>
    <mergeCell ref="N2:N3"/>
    <mergeCell ref="P1:P3"/>
    <mergeCell ref="D1:H1"/>
    <mergeCell ref="D2:D3"/>
  </mergeCells>
  <conditionalFormatting sqref="C33:D51">
    <cfRule type="cellIs" dxfId="48" priority="33" stopIfTrue="1" operator="between">
      <formula>0.8</formula>
      <formula>1</formula>
    </cfRule>
    <cfRule type="cellIs" dxfId="47" priority="34" stopIfTrue="1" operator="between">
      <formula>0.5</formula>
      <formula>0.79</formula>
    </cfRule>
    <cfRule type="cellIs" dxfId="46" priority="35" stopIfTrue="1" operator="between">
      <formula>0.3</formula>
      <formula>0.49</formula>
    </cfRule>
    <cfRule type="cellIs" dxfId="45" priority="36" stopIfTrue="1" operator="between">
      <formula>0</formula>
      <formula>0.29</formula>
    </cfRule>
  </conditionalFormatting>
  <conditionalFormatting sqref="E2:H3">
    <cfRule type="colorScale" priority="3">
      <colorScale>
        <cfvo type="min"/>
        <cfvo type="percentile" val="50"/>
        <cfvo type="max"/>
        <color rgb="FFF8696B"/>
        <color rgb="FFFFEB84"/>
        <color rgb="FF63BE7B"/>
      </colorScale>
    </cfRule>
  </conditionalFormatting>
  <conditionalFormatting sqref="K4:L23 O4:O23">
    <cfRule type="cellIs" dxfId="44" priority="8" operator="between">
      <formula>0.29</formula>
      <formula>0</formula>
    </cfRule>
    <cfRule type="cellIs" dxfId="43" priority="9" operator="between">
      <formula>0.49</formula>
      <formula>0.3</formula>
    </cfRule>
    <cfRule type="cellIs" dxfId="42" priority="10" operator="between">
      <formula>0.79</formula>
      <formula>0.5</formula>
    </cfRule>
    <cfRule type="cellIs" dxfId="41" priority="11" operator="between">
      <formula>1</formula>
      <formula>0.8</formula>
    </cfRule>
  </conditionalFormatting>
  <conditionalFormatting sqref="K4:O23">
    <cfRule type="colorScale" priority="833">
      <colorScale>
        <cfvo type="min"/>
        <cfvo type="percentile" val="50"/>
        <cfvo type="max"/>
        <color rgb="FFF8696B"/>
        <color rgb="FFFFEB84"/>
        <color rgb="FF63BE7B"/>
      </colorScale>
    </cfRule>
  </conditionalFormatting>
  <conditionalFormatting sqref="K4:O24">
    <cfRule type="colorScale" priority="2">
      <colorScale>
        <cfvo type="min"/>
        <cfvo type="percentile" val="50"/>
        <cfvo type="max"/>
        <color rgb="FFF8696B"/>
        <color rgb="FFFFEB84"/>
        <color rgb="FF63BE7B"/>
      </colorScale>
    </cfRule>
  </conditionalFormatting>
  <conditionalFormatting sqref="S15:T18">
    <cfRule type="colorScale" priority="1">
      <colorScale>
        <cfvo type="min"/>
        <cfvo type="percentile" val="50"/>
        <cfvo type="max"/>
        <color rgb="FFF8696B"/>
        <color rgb="FFFFEB84"/>
        <color rgb="FF63BE7B"/>
      </colorScale>
    </cfRule>
  </conditionalFormatting>
  <conditionalFormatting sqref="S15:U18 V15">
    <cfRule type="colorScale" priority="838">
      <colorScale>
        <cfvo type="min"/>
        <cfvo type="percentile" val="50"/>
        <cfvo type="max"/>
        <color rgb="FFF8696B"/>
        <color rgb="FFFFEB84"/>
        <color rgb="FF63BE7B"/>
      </colorScale>
    </cfRule>
  </conditionalFormatting>
  <conditionalFormatting sqref="S15:U18">
    <cfRule type="colorScale" priority="840">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N32"/>
  <sheetViews>
    <sheetView topLeftCell="F1" zoomScale="90" zoomScaleNormal="90" workbookViewId="0">
      <selection activeCell="K21" sqref="K21"/>
    </sheetView>
  </sheetViews>
  <sheetFormatPr defaultColWidth="11.42578125" defaultRowHeight="12.75" customHeight="1"/>
  <cols>
    <col min="1" max="1" width="11.42578125" style="62"/>
    <col min="2" max="3" width="23.5703125" style="62" customWidth="1"/>
    <col min="4" max="4" width="12.5703125" style="62" customWidth="1"/>
    <col min="5" max="5" width="13.140625" style="64" customWidth="1"/>
    <col min="6" max="6" width="16.42578125" style="64" customWidth="1"/>
    <col min="7" max="7" width="12.7109375" style="64" customWidth="1"/>
    <col min="8" max="8" width="13.28515625" style="64" customWidth="1"/>
    <col min="9" max="9" width="10.7109375" style="62" customWidth="1"/>
    <col min="10" max="11" width="11.5703125" style="62" customWidth="1"/>
    <col min="12" max="12" width="12.7109375" style="62" customWidth="1"/>
    <col min="13" max="13" width="13.42578125" style="62" customWidth="1"/>
    <col min="14" max="14" width="13" style="62" customWidth="1"/>
    <col min="15" max="16384" width="11.42578125" style="62"/>
  </cols>
  <sheetData>
    <row r="1" spans="1:14" ht="23.25" customHeight="1">
      <c r="B1" s="826" t="s">
        <v>2576</v>
      </c>
      <c r="C1" s="826" t="s">
        <v>2577</v>
      </c>
      <c r="D1" s="824" t="s">
        <v>2508</v>
      </c>
      <c r="E1" s="828">
        <v>1</v>
      </c>
      <c r="F1" s="830" t="s">
        <v>2578</v>
      </c>
      <c r="G1" s="832" t="s">
        <v>2579</v>
      </c>
      <c r="H1" s="834" t="s">
        <v>2580</v>
      </c>
      <c r="I1" s="836" t="s">
        <v>2581</v>
      </c>
      <c r="J1" s="824" t="s">
        <v>2582</v>
      </c>
      <c r="K1" s="825" t="s">
        <v>2583</v>
      </c>
      <c r="L1" s="824" t="s">
        <v>2584</v>
      </c>
      <c r="M1" s="824" t="s">
        <v>2585</v>
      </c>
      <c r="N1" s="824" t="s">
        <v>2586</v>
      </c>
    </row>
    <row r="2" spans="1:14" ht="14.25">
      <c r="B2" s="826"/>
      <c r="C2" s="827"/>
      <c r="D2" s="825"/>
      <c r="E2" s="829"/>
      <c r="F2" s="831"/>
      <c r="G2" s="833"/>
      <c r="H2" s="835"/>
      <c r="I2" s="837"/>
      <c r="J2" s="825"/>
      <c r="K2" s="838"/>
      <c r="L2" s="825"/>
      <c r="M2" s="825"/>
      <c r="N2" s="825"/>
    </row>
    <row r="3" spans="1:14" ht="15">
      <c r="B3" s="530" t="s">
        <v>2587</v>
      </c>
      <c r="C3" s="540">
        <v>19</v>
      </c>
      <c r="D3" s="541">
        <f>COUNTA('CGR 2019'!G4:G29)</f>
        <v>26</v>
      </c>
      <c r="E3" s="541">
        <f>COUNTIF('CGR 2019'!Q4:Q29,"=100%")</f>
        <v>19</v>
      </c>
      <c r="F3" s="541">
        <f>COUNTIF('CGR 2019'!Q4:Q29,"&gt;=80%")-E3</f>
        <v>2</v>
      </c>
      <c r="G3" s="541">
        <f>(COUNTIF('CGR 2019'!Q4:Q29,"&gt;=50%"))-(F3+E3)</f>
        <v>4</v>
      </c>
      <c r="H3" s="541">
        <f>(COUNTIF('CGR 2019'!Q4:Q29,"&gt;=30%"))-(F3+G3+E3)</f>
        <v>1</v>
      </c>
      <c r="I3" s="541">
        <f>COUNTIF('CGR 2019'!Q4:Q29,"&lt;30%")</f>
        <v>0</v>
      </c>
      <c r="J3" s="541">
        <f>SUM(F3:I3)</f>
        <v>7</v>
      </c>
      <c r="K3" s="543">
        <f>(E3/D3)</f>
        <v>0.73076923076923073</v>
      </c>
      <c r="L3" s="542">
        <v>0.84</v>
      </c>
      <c r="M3" s="543">
        <v>0.88846153846153864</v>
      </c>
      <c r="N3" s="543">
        <f>'CGR 2019'!Q30</f>
        <v>0.90615384615384609</v>
      </c>
    </row>
    <row r="4" spans="1:14" ht="15">
      <c r="B4" s="530" t="s">
        <v>2588</v>
      </c>
      <c r="C4" s="536">
        <v>14</v>
      </c>
      <c r="D4" s="537">
        <f>COUNTA('CGR 2020'!G4:G33)</f>
        <v>30</v>
      </c>
      <c r="E4" s="537">
        <f>COUNTIF('CGR 2020'!Q4:Q33,"=100%")</f>
        <v>26</v>
      </c>
      <c r="F4" s="537">
        <f>COUNTIF('CGR 2020'!Q4:Q33,"&gt;=80%")-E4</f>
        <v>1</v>
      </c>
      <c r="G4" s="537">
        <f>(COUNTIF('CGR 2020'!Q4:Q33,"&gt;=50%"))-(F4+E4)</f>
        <v>2</v>
      </c>
      <c r="H4" s="537">
        <f>(COUNTIF('CGR 2020'!Q4:Q33,"&gt;=30%"))-(F4+G4+E4)</f>
        <v>1</v>
      </c>
      <c r="I4" s="537">
        <f>COUNTIF('CGR 2020'!Q4:Q33,"&lt;30%")</f>
        <v>0</v>
      </c>
      <c r="J4" s="537">
        <f t="shared" ref="J4" si="0">SUM(F4:I4)</f>
        <v>4</v>
      </c>
      <c r="K4" s="539">
        <f t="shared" ref="K4:K5" si="1">(E4/D4)</f>
        <v>0.8666666666666667</v>
      </c>
      <c r="L4" s="538">
        <v>0.67</v>
      </c>
      <c r="M4" s="539">
        <v>0.89833333333333332</v>
      </c>
      <c r="N4" s="539">
        <f>'CGR 2020'!Q34</f>
        <v>0.94266666666666665</v>
      </c>
    </row>
    <row r="5" spans="1:14" ht="15">
      <c r="B5" s="530" t="s">
        <v>2589</v>
      </c>
      <c r="C5" s="540">
        <v>9</v>
      </c>
      <c r="D5" s="541">
        <f>COUNTA('CGR 2021'!G4:G39)</f>
        <v>36</v>
      </c>
      <c r="E5" s="541">
        <f>COUNTIF('CGR 2021'!Q4:Q39,"=100%")</f>
        <v>31</v>
      </c>
      <c r="F5" s="541">
        <f>COUNTIF('CGR 2021'!Q4:Q39,"&gt;=80%")-E5</f>
        <v>1</v>
      </c>
      <c r="G5" s="541">
        <f>(COUNTIF('CGR 2021'!Q4:Q39,"&gt;=50%"))-(F5+E5)</f>
        <v>3</v>
      </c>
      <c r="H5" s="541">
        <f>(COUNTIF('CGR 2021'!Q4:Q39,"&gt;=30%"))-(F5+G5+E5)</f>
        <v>0</v>
      </c>
      <c r="I5" s="541">
        <f>COUNTIF('CGR 2021'!Q4:Q39,"&lt;30%")</f>
        <v>1</v>
      </c>
      <c r="J5" s="541">
        <f t="shared" ref="J5" si="2">SUM(F5:I5)</f>
        <v>5</v>
      </c>
      <c r="K5" s="543">
        <f t="shared" si="1"/>
        <v>0.86111111111111116</v>
      </c>
      <c r="L5" s="542">
        <v>0.49</v>
      </c>
      <c r="M5" s="543">
        <v>0.801111111111111</v>
      </c>
      <c r="N5" s="543">
        <f>'CGR 2021'!Q40</f>
        <v>0.93444444444444441</v>
      </c>
    </row>
    <row r="6" spans="1:14" ht="15">
      <c r="B6" s="183" t="s">
        <v>2590</v>
      </c>
      <c r="C6" s="531">
        <v>67</v>
      </c>
      <c r="D6" s="531">
        <f t="shared" ref="D6:J6" si="3">SUM(D3:D5)</f>
        <v>92</v>
      </c>
      <c r="E6" s="532">
        <f t="shared" si="3"/>
        <v>76</v>
      </c>
      <c r="F6" s="532">
        <f t="shared" si="3"/>
        <v>4</v>
      </c>
      <c r="G6" s="533">
        <f t="shared" si="3"/>
        <v>9</v>
      </c>
      <c r="H6" s="532">
        <f t="shared" si="3"/>
        <v>2</v>
      </c>
      <c r="I6" s="532">
        <f t="shared" si="3"/>
        <v>1</v>
      </c>
      <c r="J6" s="534">
        <f t="shared" si="3"/>
        <v>16</v>
      </c>
      <c r="K6" s="535">
        <f>AVERAGE(K3:K5)</f>
        <v>0.81951566951566956</v>
      </c>
      <c r="L6" s="535">
        <v>0.75</v>
      </c>
      <c r="M6" s="535">
        <v>0.89697649572649574</v>
      </c>
      <c r="N6" s="535">
        <f>AVERAGE(N3:N5)</f>
        <v>0.92775498575498572</v>
      </c>
    </row>
    <row r="14" spans="1:14" ht="12.75" customHeight="1">
      <c r="A14"/>
      <c r="B14"/>
      <c r="C14"/>
      <c r="D14"/>
      <c r="E14"/>
      <c r="F14"/>
      <c r="G14"/>
      <c r="H14"/>
      <c r="I14"/>
      <c r="J14"/>
      <c r="K14"/>
      <c r="L14"/>
    </row>
    <row r="15" spans="1:14" ht="12.75" customHeight="1">
      <c r="A15"/>
      <c r="B15"/>
      <c r="C15"/>
      <c r="D15"/>
      <c r="E15"/>
      <c r="F15"/>
      <c r="G15"/>
      <c r="H15"/>
      <c r="I15"/>
      <c r="J15"/>
      <c r="K15"/>
      <c r="L15"/>
    </row>
    <row r="16" spans="1:14" ht="14.25">
      <c r="A16"/>
      <c r="B16"/>
      <c r="C16"/>
      <c r="D16"/>
      <c r="E16"/>
      <c r="F16"/>
      <c r="G16"/>
      <c r="H16"/>
      <c r="I16"/>
      <c r="J16"/>
      <c r="K16"/>
      <c r="L16"/>
    </row>
    <row r="17" spans="1:12" ht="14.25">
      <c r="A17"/>
      <c r="B17"/>
      <c r="C17"/>
      <c r="D17"/>
      <c r="E17"/>
      <c r="F17"/>
      <c r="G17"/>
      <c r="H17"/>
      <c r="I17"/>
      <c r="J17"/>
      <c r="K17"/>
      <c r="L17"/>
    </row>
    <row r="18" spans="1:12" ht="14.25">
      <c r="A18"/>
      <c r="B18"/>
      <c r="C18"/>
      <c r="D18"/>
      <c r="E18"/>
      <c r="F18"/>
      <c r="G18"/>
      <c r="H18"/>
      <c r="I18"/>
      <c r="J18"/>
      <c r="K18"/>
      <c r="L18"/>
    </row>
    <row r="19" spans="1:12" ht="14.25">
      <c r="A19"/>
      <c r="B19"/>
      <c r="C19"/>
      <c r="D19"/>
      <c r="E19"/>
      <c r="F19"/>
      <c r="G19"/>
      <c r="H19"/>
      <c r="I19"/>
      <c r="J19"/>
      <c r="K19"/>
      <c r="L19"/>
    </row>
    <row r="20" spans="1:12" ht="14.25">
      <c r="A20"/>
      <c r="B20"/>
      <c r="C20"/>
      <c r="D20"/>
      <c r="E20"/>
      <c r="F20"/>
      <c r="G20"/>
      <c r="H20"/>
      <c r="I20"/>
      <c r="J20"/>
      <c r="K20"/>
      <c r="L20"/>
    </row>
    <row r="21" spans="1:12" ht="14.25">
      <c r="A21"/>
      <c r="B21"/>
      <c r="C21"/>
      <c r="D21"/>
      <c r="E21"/>
      <c r="F21"/>
      <c r="G21"/>
      <c r="H21"/>
      <c r="I21"/>
      <c r="J21"/>
      <c r="K21"/>
      <c r="L21"/>
    </row>
    <row r="22" spans="1:12" ht="14.25">
      <c r="A22"/>
      <c r="B22"/>
      <c r="C22"/>
      <c r="D22"/>
      <c r="E22"/>
      <c r="F22"/>
      <c r="G22"/>
      <c r="H22"/>
      <c r="I22"/>
      <c r="J22"/>
      <c r="K22"/>
      <c r="L22"/>
    </row>
    <row r="23" spans="1:12" ht="14.25">
      <c r="A23"/>
      <c r="B23"/>
      <c r="C23"/>
      <c r="D23"/>
      <c r="E23"/>
      <c r="F23"/>
      <c r="G23"/>
      <c r="H23"/>
      <c r="I23"/>
      <c r="J23"/>
      <c r="K23"/>
      <c r="L23"/>
    </row>
    <row r="24" spans="1:12" ht="14.25">
      <c r="A24"/>
      <c r="B24"/>
      <c r="C24"/>
      <c r="D24"/>
      <c r="E24"/>
      <c r="F24"/>
      <c r="G24"/>
      <c r="H24"/>
      <c r="I24"/>
      <c r="J24"/>
      <c r="K24"/>
      <c r="L24"/>
    </row>
    <row r="25" spans="1:12" ht="14.25">
      <c r="A25"/>
      <c r="B25"/>
      <c r="C25"/>
      <c r="D25"/>
      <c r="E25"/>
      <c r="F25"/>
      <c r="G25"/>
      <c r="H25"/>
      <c r="I25"/>
      <c r="J25"/>
      <c r="K25"/>
      <c r="L25"/>
    </row>
    <row r="26" spans="1:12" ht="14.25">
      <c r="A26"/>
      <c r="B26"/>
      <c r="C26"/>
      <c r="D26"/>
      <c r="E26"/>
      <c r="F26"/>
      <c r="G26"/>
      <c r="H26"/>
      <c r="I26"/>
      <c r="J26"/>
      <c r="K26"/>
      <c r="L26"/>
    </row>
    <row r="27" spans="1:12" ht="12.75" customHeight="1">
      <c r="A27"/>
      <c r="B27"/>
      <c r="C27"/>
      <c r="D27"/>
      <c r="E27"/>
      <c r="F27"/>
      <c r="G27"/>
      <c r="H27"/>
      <c r="I27"/>
      <c r="J27"/>
      <c r="K27"/>
      <c r="L27"/>
    </row>
    <row r="28" spans="1:12" ht="12.75" customHeight="1">
      <c r="A28"/>
      <c r="B28"/>
      <c r="C28"/>
      <c r="D28"/>
      <c r="E28"/>
      <c r="F28"/>
      <c r="G28"/>
      <c r="H28"/>
      <c r="I28"/>
      <c r="J28"/>
      <c r="K28"/>
      <c r="L28"/>
    </row>
    <row r="29" spans="1:12" ht="12.75" customHeight="1">
      <c r="A29"/>
      <c r="B29"/>
      <c r="C29"/>
      <c r="D29"/>
      <c r="E29"/>
      <c r="F29"/>
      <c r="G29"/>
      <c r="H29"/>
      <c r="I29"/>
      <c r="J29"/>
      <c r="K29"/>
      <c r="L29"/>
    </row>
    <row r="30" spans="1:12" ht="12.75" customHeight="1">
      <c r="A30"/>
      <c r="B30"/>
      <c r="C30"/>
      <c r="D30"/>
      <c r="E30"/>
      <c r="F30"/>
      <c r="G30"/>
      <c r="H30"/>
      <c r="I30"/>
      <c r="J30"/>
      <c r="K30"/>
      <c r="L30"/>
    </row>
    <row r="31" spans="1:12" ht="12.75" customHeight="1">
      <c r="A31"/>
      <c r="B31"/>
      <c r="C31"/>
      <c r="D31"/>
      <c r="E31"/>
      <c r="F31"/>
      <c r="G31"/>
      <c r="H31"/>
      <c r="I31"/>
      <c r="J31"/>
      <c r="K31"/>
      <c r="L31"/>
    </row>
    <row r="32" spans="1:12" ht="12.75" customHeight="1">
      <c r="A32"/>
      <c r="B32"/>
      <c r="C32"/>
      <c r="D32"/>
      <c r="E32"/>
      <c r="F32"/>
      <c r="G32"/>
      <c r="H32"/>
      <c r="I32"/>
      <c r="J32"/>
      <c r="K32"/>
      <c r="L32"/>
    </row>
  </sheetData>
  <mergeCells count="13">
    <mergeCell ref="N1:N2"/>
    <mergeCell ref="B1:B2"/>
    <mergeCell ref="C1:C2"/>
    <mergeCell ref="D1:D2"/>
    <mergeCell ref="E1:E2"/>
    <mergeCell ref="F1:F2"/>
    <mergeCell ref="G1:G2"/>
    <mergeCell ref="H1:H2"/>
    <mergeCell ref="I1:I2"/>
    <mergeCell ref="J1:J2"/>
    <mergeCell ref="L1:L2"/>
    <mergeCell ref="M1:M2"/>
    <mergeCell ref="K1:K2"/>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2050-57CA-42EC-B429-565280057754}">
  <sheetPr>
    <tabColor rgb="FFFF0000"/>
  </sheetPr>
  <dimension ref="A1:P54"/>
  <sheetViews>
    <sheetView zoomScale="70" zoomScaleNormal="70" workbookViewId="0">
      <selection activeCell="F1" sqref="F1"/>
    </sheetView>
  </sheetViews>
  <sheetFormatPr defaultColWidth="11.42578125" defaultRowHeight="14.25"/>
  <cols>
    <col min="1" max="1" width="11.42578125" style="54"/>
    <col min="2" max="2" width="11.42578125" style="75"/>
    <col min="3" max="3" width="16.42578125" style="75" customWidth="1"/>
    <col min="4" max="5" width="16.7109375" style="75" customWidth="1"/>
    <col min="6" max="6" width="14.7109375" style="93" customWidth="1"/>
    <col min="7" max="7" width="13.28515625" style="75" customWidth="1"/>
    <col min="8" max="8" width="15.5703125" style="75" customWidth="1"/>
    <col min="9" max="9" width="13.85546875" style="75" customWidth="1"/>
    <col min="10" max="10" width="19" style="75" customWidth="1"/>
    <col min="11" max="11" width="14.140625" style="75" customWidth="1"/>
    <col min="12" max="12" width="15" style="75" customWidth="1"/>
    <col min="13" max="13" width="11.42578125" style="75" customWidth="1"/>
    <col min="14" max="14" width="58.28515625" style="75" customWidth="1"/>
    <col min="15" max="15" width="11.42578125" style="75" customWidth="1"/>
    <col min="16" max="16" width="26.140625" style="115" customWidth="1"/>
  </cols>
  <sheetData>
    <row r="1" spans="1:16" ht="78.75" customHeight="1" thickBot="1">
      <c r="A1" s="143" t="s">
        <v>2591</v>
      </c>
      <c r="B1" s="144" t="s">
        <v>2592</v>
      </c>
      <c r="C1" s="144" t="s">
        <v>2593</v>
      </c>
      <c r="D1" s="144" t="s">
        <v>2594</v>
      </c>
      <c r="E1" s="144" t="s">
        <v>2563</v>
      </c>
      <c r="F1" s="145" t="s">
        <v>8</v>
      </c>
      <c r="G1" s="144" t="s">
        <v>2595</v>
      </c>
      <c r="H1" s="144" t="s">
        <v>2596</v>
      </c>
      <c r="I1" s="144" t="s">
        <v>2597</v>
      </c>
      <c r="J1" s="144" t="s">
        <v>2598</v>
      </c>
      <c r="K1" s="144" t="s">
        <v>2599</v>
      </c>
      <c r="L1" s="144" t="s">
        <v>2600</v>
      </c>
      <c r="M1" s="144" t="s">
        <v>2601</v>
      </c>
      <c r="N1" s="144" t="s">
        <v>2602</v>
      </c>
      <c r="O1" s="144" t="s">
        <v>2603</v>
      </c>
      <c r="P1" s="146" t="s">
        <v>2604</v>
      </c>
    </row>
    <row r="2" spans="1:16" ht="29.25" thickBot="1">
      <c r="A2" s="147">
        <v>1</v>
      </c>
      <c r="B2" s="148">
        <v>2019</v>
      </c>
      <c r="C2" s="149" t="s">
        <v>2605</v>
      </c>
      <c r="D2" s="149" t="s">
        <v>166</v>
      </c>
      <c r="E2" s="149" t="s">
        <v>2519</v>
      </c>
      <c r="F2" s="150">
        <f>POSGRADOS!$I$3</f>
        <v>43252</v>
      </c>
      <c r="G2" s="151">
        <v>43252</v>
      </c>
      <c r="H2" s="151">
        <v>43616</v>
      </c>
      <c r="I2" s="152">
        <f>POSGRADOS!U26</f>
        <v>0.71052631578947367</v>
      </c>
      <c r="J2" s="152">
        <f>POSGRADOS!W26</f>
        <v>0.31578947368421051</v>
      </c>
      <c r="K2" s="153">
        <f>POSGRADOS!AC26</f>
        <v>0.51315789473684215</v>
      </c>
      <c r="L2" s="150">
        <v>45290</v>
      </c>
      <c r="M2" s="148" t="s">
        <v>16</v>
      </c>
      <c r="N2" s="148"/>
      <c r="O2" s="154"/>
      <c r="P2" s="155" t="s">
        <v>2606</v>
      </c>
    </row>
    <row r="3" spans="1:16" ht="44.25" customHeight="1" thickBot="1">
      <c r="A3" s="156">
        <v>2</v>
      </c>
      <c r="B3" s="157">
        <v>2019</v>
      </c>
      <c r="C3" s="158" t="s">
        <v>2605</v>
      </c>
      <c r="D3" s="158" t="s">
        <v>166</v>
      </c>
      <c r="E3" s="158" t="s">
        <v>2607</v>
      </c>
      <c r="F3" s="159">
        <v>43784</v>
      </c>
      <c r="G3" s="160">
        <v>43784</v>
      </c>
      <c r="H3" s="160">
        <v>44560</v>
      </c>
      <c r="I3" s="161">
        <f>'COMISIÓN ACADÉMICA'!U14</f>
        <v>0.86428571428571443</v>
      </c>
      <c r="J3" s="161">
        <f>'COMISIÓN ACADÉMICA'!W14</f>
        <v>0.2857142857142857</v>
      </c>
      <c r="K3" s="162">
        <f>'COMISIÓN ACADÉMICA'!AC14</f>
        <v>0.72327405330159178</v>
      </c>
      <c r="L3" s="159">
        <v>45290</v>
      </c>
      <c r="M3" s="157" t="s">
        <v>16</v>
      </c>
      <c r="N3" s="157"/>
      <c r="O3" s="163"/>
      <c r="P3" s="164" t="s">
        <v>2606</v>
      </c>
    </row>
    <row r="4" spans="1:16" ht="35.25" customHeight="1" thickBot="1">
      <c r="A4" s="147">
        <v>3</v>
      </c>
      <c r="B4" s="148">
        <v>2019</v>
      </c>
      <c r="C4" s="149" t="s">
        <v>2605</v>
      </c>
      <c r="D4" s="149" t="s">
        <v>166</v>
      </c>
      <c r="E4" s="149" t="s">
        <v>2521</v>
      </c>
      <c r="F4" s="150">
        <v>43374</v>
      </c>
      <c r="G4" s="151">
        <v>43374</v>
      </c>
      <c r="H4" s="151">
        <v>44560</v>
      </c>
      <c r="I4" s="152">
        <f>'EVALUACIÓN DOCENTE'!U14</f>
        <v>2.8571428571428574E-2</v>
      </c>
      <c r="J4" s="152">
        <f>'EVALUACIÓN DOCENTE'!W14</f>
        <v>0</v>
      </c>
      <c r="K4" s="153">
        <f>'EVALUACIÓN DOCENTE'!AC14</f>
        <v>0.36757407853529267</v>
      </c>
      <c r="L4" s="150">
        <v>45107</v>
      </c>
      <c r="M4" s="148" t="s">
        <v>16</v>
      </c>
      <c r="N4" s="148"/>
      <c r="O4" s="154"/>
      <c r="P4" s="155" t="s">
        <v>2606</v>
      </c>
    </row>
    <row r="5" spans="1:16" ht="46.5" customHeight="1" thickBot="1">
      <c r="A5" s="156">
        <v>4</v>
      </c>
      <c r="B5" s="157">
        <v>2016</v>
      </c>
      <c r="C5" s="157" t="s">
        <v>2605</v>
      </c>
      <c r="D5" s="157" t="s">
        <v>166</v>
      </c>
      <c r="E5" s="157" t="s">
        <v>2608</v>
      </c>
      <c r="F5" s="159">
        <v>42373</v>
      </c>
      <c r="G5" s="160">
        <v>42461</v>
      </c>
      <c r="H5" s="160">
        <v>42734</v>
      </c>
      <c r="I5" s="161">
        <f>'COMISIÓN DE ESTUDIO'!U18</f>
        <v>0.80909090909090908</v>
      </c>
      <c r="J5" s="161">
        <f>'COMISIÓN DE ESTUDIO'!W18</f>
        <v>0.30769230769230771</v>
      </c>
      <c r="K5" s="162">
        <f>'COMISIÓN DE ESTUDIO'!$AC$18</f>
        <v>0.58636363636363642</v>
      </c>
      <c r="L5" s="159">
        <v>45290</v>
      </c>
      <c r="M5" s="157" t="s">
        <v>16</v>
      </c>
      <c r="N5" s="157"/>
      <c r="O5" s="165"/>
      <c r="P5" s="164" t="s">
        <v>2606</v>
      </c>
    </row>
    <row r="6" spans="1:16" ht="40.5" customHeight="1" thickBot="1">
      <c r="A6" s="147">
        <v>5</v>
      </c>
      <c r="B6" s="148">
        <v>2020</v>
      </c>
      <c r="C6" s="149" t="s">
        <v>2605</v>
      </c>
      <c r="D6" s="149" t="s">
        <v>166</v>
      </c>
      <c r="E6" s="149" t="s">
        <v>2609</v>
      </c>
      <c r="F6" s="150">
        <v>43789</v>
      </c>
      <c r="G6" s="151">
        <v>43941</v>
      </c>
      <c r="H6" s="151">
        <v>44560</v>
      </c>
      <c r="I6" s="152">
        <f>'ESTÍMULOS ACADEMICOS'!U12</f>
        <v>0.6</v>
      </c>
      <c r="J6" s="152">
        <f>'ESTÍMULOS ACADEMICOS'!W12</f>
        <v>0.4</v>
      </c>
      <c r="K6" s="153">
        <f>'ESTÍMULOS ACADEMICOS'!AC12</f>
        <v>0.55276930910279543</v>
      </c>
      <c r="L6" s="150">
        <v>45290</v>
      </c>
      <c r="M6" s="148" t="s">
        <v>16</v>
      </c>
      <c r="N6" s="148"/>
      <c r="O6" s="148"/>
      <c r="P6" s="155" t="s">
        <v>2606</v>
      </c>
    </row>
    <row r="7" spans="1:16" ht="39.75" customHeight="1" thickBot="1">
      <c r="A7" s="156">
        <v>6</v>
      </c>
      <c r="B7" s="157">
        <v>2020</v>
      </c>
      <c r="C7" s="158" t="s">
        <v>2524</v>
      </c>
      <c r="D7" s="158" t="s">
        <v>2524</v>
      </c>
      <c r="E7" s="158" t="s">
        <v>778</v>
      </c>
      <c r="F7" s="159">
        <v>44531</v>
      </c>
      <c r="G7" s="160">
        <v>44531</v>
      </c>
      <c r="H7" s="160">
        <v>44926</v>
      </c>
      <c r="I7" s="161">
        <f>'TALENTO HUMANO UNISALUD'!U30</f>
        <v>0.65217391304347838</v>
      </c>
      <c r="J7" s="161">
        <f>'TALENTO HUMANO UNISALUD'!W30</f>
        <v>0.13043478260869565</v>
      </c>
      <c r="K7" s="162">
        <f>'TALENTO HUMANO UNISALUD'!AC30</f>
        <v>0.43665382498624106</v>
      </c>
      <c r="L7" s="159">
        <v>45290</v>
      </c>
      <c r="M7" s="157" t="s">
        <v>16</v>
      </c>
      <c r="N7" s="163"/>
      <c r="O7" s="157"/>
      <c r="P7" s="164" t="s">
        <v>2606</v>
      </c>
    </row>
    <row r="8" spans="1:16" ht="111" customHeight="1" thickBot="1">
      <c r="A8" s="147">
        <v>7</v>
      </c>
      <c r="B8" s="148">
        <v>2020</v>
      </c>
      <c r="C8" s="149" t="s">
        <v>2527</v>
      </c>
      <c r="D8" s="149" t="s">
        <v>2525</v>
      </c>
      <c r="E8" s="149" t="s">
        <v>2610</v>
      </c>
      <c r="F8" s="150">
        <v>43952</v>
      </c>
      <c r="G8" s="151">
        <v>43952</v>
      </c>
      <c r="H8" s="151">
        <v>44755</v>
      </c>
      <c r="I8" s="152">
        <f>'TALENTO HUMANO DIV.'!U29</f>
        <v>0.84912280701754383</v>
      </c>
      <c r="J8" s="152">
        <f>'TALENTO HUMANO DIV.'!W29</f>
        <v>0.10526315789473684</v>
      </c>
      <c r="K8" s="153">
        <f>'TALENTO HUMANO DIV.'!U29</f>
        <v>0.84912280701754383</v>
      </c>
      <c r="L8" s="150">
        <v>45290</v>
      </c>
      <c r="M8" s="148" t="s">
        <v>16</v>
      </c>
      <c r="N8" s="148"/>
      <c r="O8" s="148"/>
      <c r="P8" s="155" t="s">
        <v>2606</v>
      </c>
    </row>
    <row r="9" spans="1:16" ht="43.5" thickBot="1">
      <c r="A9" s="156">
        <v>8</v>
      </c>
      <c r="B9" s="166">
        <v>2022</v>
      </c>
      <c r="C9" s="158" t="s">
        <v>2527</v>
      </c>
      <c r="D9" s="158" t="s">
        <v>2525</v>
      </c>
      <c r="E9" s="163" t="s">
        <v>2526</v>
      </c>
      <c r="F9" s="159">
        <v>44866</v>
      </c>
      <c r="G9" s="160">
        <v>44572</v>
      </c>
      <c r="H9" s="160">
        <v>45230</v>
      </c>
      <c r="I9" s="162">
        <f>SGSST!U28</f>
        <v>0.48095238095238091</v>
      </c>
      <c r="J9" s="162">
        <f>SGSST!W28</f>
        <v>0.14285714285714285</v>
      </c>
      <c r="K9" s="162">
        <f>SGSST!AC28</f>
        <v>0.42395941153128874</v>
      </c>
      <c r="L9" s="160">
        <v>45111</v>
      </c>
      <c r="M9" s="163" t="s">
        <v>16</v>
      </c>
      <c r="N9" s="157"/>
      <c r="O9" s="157"/>
      <c r="P9" s="164" t="s">
        <v>2611</v>
      </c>
    </row>
    <row r="10" spans="1:16" ht="52.5" customHeight="1" thickBot="1">
      <c r="A10" s="147">
        <v>9</v>
      </c>
      <c r="B10" s="148">
        <v>2022</v>
      </c>
      <c r="C10" s="149" t="s">
        <v>2612</v>
      </c>
      <c r="D10" s="149" t="s">
        <v>766</v>
      </c>
      <c r="E10" s="154" t="s">
        <v>2613</v>
      </c>
      <c r="F10" s="150">
        <v>44594</v>
      </c>
      <c r="G10" s="150">
        <v>44806</v>
      </c>
      <c r="H10" s="150">
        <v>45140</v>
      </c>
      <c r="I10" s="152">
        <f>MANTENIMIENTO!U31</f>
        <v>0.95624999999999993</v>
      </c>
      <c r="J10" s="152">
        <f>MANTENIMIENTO!V31</f>
        <v>0.3174004637419271</v>
      </c>
      <c r="K10" s="153">
        <f>MANTENIMIENTO!AC31</f>
        <v>0.67123055865433923</v>
      </c>
      <c r="L10" s="151">
        <v>45290</v>
      </c>
      <c r="M10" s="154" t="s">
        <v>2614</v>
      </c>
      <c r="N10" s="154"/>
      <c r="O10" s="148"/>
      <c r="P10" s="155" t="s">
        <v>2611</v>
      </c>
    </row>
    <row r="11" spans="1:16" ht="43.5" thickBot="1">
      <c r="A11" s="156">
        <v>10</v>
      </c>
      <c r="B11" s="157">
        <v>2017</v>
      </c>
      <c r="C11" s="157" t="s">
        <v>2527</v>
      </c>
      <c r="D11" s="157" t="s">
        <v>2532</v>
      </c>
      <c r="E11" s="157" t="s">
        <v>2531</v>
      </c>
      <c r="F11" s="159">
        <v>42955</v>
      </c>
      <c r="G11" s="167">
        <v>42955</v>
      </c>
      <c r="H11" s="167" t="s">
        <v>918</v>
      </c>
      <c r="I11" s="161">
        <f>CIC!U20</f>
        <v>0.89230769230769247</v>
      </c>
      <c r="J11" s="161">
        <f>CIC!W20</f>
        <v>0.53846153846153844</v>
      </c>
      <c r="K11" s="162">
        <f>CIC!AC20</f>
        <v>0.76550151975683889</v>
      </c>
      <c r="L11" s="159">
        <v>45290</v>
      </c>
      <c r="M11" s="163" t="s">
        <v>16</v>
      </c>
      <c r="N11" s="157"/>
      <c r="O11" s="165"/>
      <c r="P11" s="164" t="s">
        <v>2615</v>
      </c>
    </row>
    <row r="12" spans="1:16" ht="86.25" thickBot="1">
      <c r="A12" s="147">
        <v>11</v>
      </c>
      <c r="B12" s="148">
        <v>2020</v>
      </c>
      <c r="C12" s="149" t="s">
        <v>2527</v>
      </c>
      <c r="D12" s="149" t="s">
        <v>2616</v>
      </c>
      <c r="E12" s="154" t="s">
        <v>2533</v>
      </c>
      <c r="F12" s="150">
        <v>44432</v>
      </c>
      <c r="G12" s="168">
        <v>44432</v>
      </c>
      <c r="H12" s="168">
        <v>44620</v>
      </c>
      <c r="I12" s="152">
        <f>'MATRICULA FINANCIERA'!U12</f>
        <v>0.85</v>
      </c>
      <c r="J12" s="152">
        <f>'MATRICULA FINANCIERA'!W12</f>
        <v>0</v>
      </c>
      <c r="K12" s="153">
        <f>'MATRICULA FINANCIERA'!AC12</f>
        <v>0.67505910165484628</v>
      </c>
      <c r="L12" s="151">
        <v>45290</v>
      </c>
      <c r="M12" s="154" t="s">
        <v>16</v>
      </c>
      <c r="N12" s="148"/>
      <c r="O12" s="148"/>
      <c r="P12" s="155" t="s">
        <v>2615</v>
      </c>
    </row>
    <row r="13" spans="1:16" ht="57.75" thickBot="1">
      <c r="A13" s="156">
        <v>12</v>
      </c>
      <c r="B13" s="157">
        <v>2020</v>
      </c>
      <c r="C13" s="158" t="s">
        <v>2527</v>
      </c>
      <c r="D13" s="158" t="s">
        <v>2617</v>
      </c>
      <c r="E13" s="158" t="s">
        <v>2618</v>
      </c>
      <c r="F13" s="159">
        <v>43836</v>
      </c>
      <c r="G13" s="160">
        <v>43836</v>
      </c>
      <c r="H13" s="160" t="s">
        <v>1054</v>
      </c>
      <c r="I13" s="161">
        <f>'LEGALIZACION AVANCES'!U13</f>
        <v>0.82500000000000007</v>
      </c>
      <c r="J13" s="161">
        <f>'LEGALIZACION AVANCES'!W13</f>
        <v>0.16666666666666666</v>
      </c>
      <c r="K13" s="162">
        <f>'LEGALIZACION AVANCES'!AC13</f>
        <v>0.70827048768225243</v>
      </c>
      <c r="L13" s="160">
        <v>45290</v>
      </c>
      <c r="M13" s="157" t="s">
        <v>16</v>
      </c>
      <c r="N13" s="163"/>
      <c r="O13" s="157"/>
      <c r="P13" s="164" t="s">
        <v>2615</v>
      </c>
    </row>
    <row r="14" spans="1:16" ht="72" thickBot="1">
      <c r="A14" s="147">
        <v>13</v>
      </c>
      <c r="B14" s="148">
        <v>2020</v>
      </c>
      <c r="C14" s="149" t="s">
        <v>2619</v>
      </c>
      <c r="D14" s="149" t="s">
        <v>2620</v>
      </c>
      <c r="E14" s="149" t="s">
        <v>2542</v>
      </c>
      <c r="F14" s="150">
        <v>43768</v>
      </c>
      <c r="G14" s="169">
        <v>43831</v>
      </c>
      <c r="H14" s="169">
        <v>44195</v>
      </c>
      <c r="I14" s="152">
        <f>ESTAMPILLA!U17</f>
        <v>0.98333333333333339</v>
      </c>
      <c r="J14" s="152">
        <f>ESTAMPILLA!W17</f>
        <v>0</v>
      </c>
      <c r="K14" s="153">
        <f>ESTAMPILLA!AC17</f>
        <v>0.65194859038142627</v>
      </c>
      <c r="L14" s="151">
        <v>45107</v>
      </c>
      <c r="M14" s="148" t="s">
        <v>2614</v>
      </c>
      <c r="N14" s="154"/>
      <c r="O14" s="148"/>
      <c r="P14" s="155" t="s">
        <v>2615</v>
      </c>
    </row>
    <row r="15" spans="1:16" ht="43.5" thickBot="1">
      <c r="A15" s="156">
        <v>14</v>
      </c>
      <c r="B15" s="157">
        <v>2019</v>
      </c>
      <c r="C15" s="158" t="s">
        <v>2621</v>
      </c>
      <c r="D15" s="158" t="s">
        <v>1099</v>
      </c>
      <c r="E15" s="158" t="s">
        <v>2622</v>
      </c>
      <c r="F15" s="159">
        <v>43313</v>
      </c>
      <c r="G15" s="160">
        <v>43136</v>
      </c>
      <c r="H15" s="160" t="s">
        <v>1030</v>
      </c>
      <c r="I15" s="161">
        <f>'BIENESTAR UNIVERSITARIO'!U32</f>
        <v>0.78266666666666651</v>
      </c>
      <c r="J15" s="161">
        <f>'BIENESTAR UNIVERSITARIO'!W32</f>
        <v>0.32</v>
      </c>
      <c r="K15" s="162">
        <f>'BIENESTAR UNIVERSITARIO'!AC32</f>
        <v>0.66765556062680653</v>
      </c>
      <c r="L15" s="159">
        <v>44956</v>
      </c>
      <c r="M15" s="157" t="s">
        <v>16</v>
      </c>
      <c r="N15" s="170"/>
      <c r="O15" s="163"/>
      <c r="P15" s="164" t="s">
        <v>2623</v>
      </c>
    </row>
    <row r="16" spans="1:16" ht="72" thickBot="1">
      <c r="A16" s="147">
        <v>15</v>
      </c>
      <c r="B16" s="171">
        <v>2022</v>
      </c>
      <c r="C16" s="149" t="s">
        <v>2621</v>
      </c>
      <c r="D16" s="149" t="s">
        <v>2624</v>
      </c>
      <c r="E16" s="154" t="s">
        <v>2575</v>
      </c>
      <c r="F16" s="150">
        <v>44756</v>
      </c>
      <c r="G16" s="151" t="str">
        <f>'RELIQUIDACION MATRICULA'!I3</f>
        <v>14/07/2022</v>
      </c>
      <c r="H16" s="151" t="str">
        <f>'RELIQUIDACION MATRICULA'!I4</f>
        <v>15/11/2023</v>
      </c>
      <c r="I16" s="153">
        <f>'RELIQUIDACION MATRICULA'!U21</f>
        <v>0.44285714285714289</v>
      </c>
      <c r="J16" s="152">
        <f>'RELIQUIDACION MATRICULA'!W21</f>
        <v>0.14285714285714285</v>
      </c>
      <c r="K16" s="172">
        <f>'RELIQUIDACION MATRICULA'!AC21</f>
        <v>0.66666666666666674</v>
      </c>
      <c r="L16" s="151">
        <v>45290</v>
      </c>
      <c r="M16" s="148" t="s">
        <v>16</v>
      </c>
      <c r="N16" s="148"/>
      <c r="O16" s="148"/>
      <c r="P16" s="155" t="s">
        <v>2623</v>
      </c>
    </row>
    <row r="17" spans="1:16" ht="43.5" thickBot="1">
      <c r="A17" s="156">
        <v>16</v>
      </c>
      <c r="B17" s="157">
        <v>2019</v>
      </c>
      <c r="C17" s="158" t="s">
        <v>2625</v>
      </c>
      <c r="D17" s="158" t="s">
        <v>2626</v>
      </c>
      <c r="E17" s="158" t="s">
        <v>2552</v>
      </c>
      <c r="F17" s="159">
        <v>43374</v>
      </c>
      <c r="G17" s="160">
        <v>43374</v>
      </c>
      <c r="H17" s="160">
        <v>44165</v>
      </c>
      <c r="I17" s="161">
        <f>'GESTIÓN AMBIENTAL'!U29</f>
        <v>0.95227272727272727</v>
      </c>
      <c r="J17" s="161">
        <f>'GESTIÓN AMBIENTAL'!W29</f>
        <v>0.36363636363636365</v>
      </c>
      <c r="K17" s="162">
        <f>'GESTIÓN AMBIENTAL'!AC29</f>
        <v>0.77438604142822254</v>
      </c>
      <c r="L17" s="159">
        <v>44573</v>
      </c>
      <c r="M17" s="157" t="s">
        <v>2614</v>
      </c>
      <c r="N17" s="170"/>
      <c r="O17" s="163"/>
      <c r="P17" s="164" t="s">
        <v>2623</v>
      </c>
    </row>
    <row r="18" spans="1:16" ht="72" thickBot="1">
      <c r="A18" s="147">
        <v>17</v>
      </c>
      <c r="B18" s="171">
        <v>2022</v>
      </c>
      <c r="C18" s="149" t="s">
        <v>2605</v>
      </c>
      <c r="D18" s="149" t="s">
        <v>2549</v>
      </c>
      <c r="E18" s="154" t="s">
        <v>2574</v>
      </c>
      <c r="F18" s="150">
        <v>44861</v>
      </c>
      <c r="G18" s="151" t="str">
        <f>'REGISTRO DE NOTAS'!I3</f>
        <v>27/10/2022</v>
      </c>
      <c r="H18" s="151" t="str">
        <f>'REGISTRO DE NOTAS'!I4</f>
        <v>26/10/2023</v>
      </c>
      <c r="I18" s="153">
        <f>'REGISTRO DE NOTAS'!U15</f>
        <v>0.33430555555555558</v>
      </c>
      <c r="J18" s="152">
        <f>'REGISTRO DE NOTAS'!W15</f>
        <v>0.5</v>
      </c>
      <c r="K18" s="172">
        <f>'REGISTRO DE NOTAS'!AC15</f>
        <v>0.91666666666666663</v>
      </c>
      <c r="L18" s="148" t="s">
        <v>2627</v>
      </c>
      <c r="M18" s="148" t="s">
        <v>16</v>
      </c>
      <c r="N18" s="148"/>
      <c r="O18" s="148"/>
      <c r="P18" s="155" t="s">
        <v>2623</v>
      </c>
    </row>
    <row r="19" spans="1:16" ht="43.5" thickBot="1">
      <c r="A19" s="156">
        <v>18</v>
      </c>
      <c r="B19" s="157">
        <v>2019</v>
      </c>
      <c r="C19" s="158" t="s">
        <v>2527</v>
      </c>
      <c r="D19" s="158" t="s">
        <v>1631</v>
      </c>
      <c r="E19" s="158" t="s">
        <v>2555</v>
      </c>
      <c r="F19" s="159">
        <v>43101</v>
      </c>
      <c r="G19" s="160">
        <v>43101</v>
      </c>
      <c r="H19" s="160">
        <v>43956</v>
      </c>
      <c r="I19" s="161">
        <f>TRANSPORTE.!U31</f>
        <v>0.94166666666666654</v>
      </c>
      <c r="J19" s="173">
        <f>TRANSPORTE.!W31</f>
        <v>8.3333333333333329E-2</v>
      </c>
      <c r="K19" s="174" t="str">
        <f>TRANSPORTE.!AC31</f>
        <v>37,08%</v>
      </c>
      <c r="L19" s="159">
        <v>45107</v>
      </c>
      <c r="M19" s="157" t="s">
        <v>2614</v>
      </c>
      <c r="N19" s="157"/>
      <c r="O19" s="157"/>
      <c r="P19" s="164" t="s">
        <v>1632</v>
      </c>
    </row>
    <row r="20" spans="1:16" ht="29.25" thickBot="1">
      <c r="A20" s="147">
        <v>19</v>
      </c>
      <c r="B20" s="148">
        <v>2019</v>
      </c>
      <c r="C20" s="149" t="s">
        <v>2628</v>
      </c>
      <c r="D20" s="149" t="s">
        <v>2629</v>
      </c>
      <c r="E20" s="149" t="s">
        <v>2630</v>
      </c>
      <c r="F20" s="150">
        <v>43109</v>
      </c>
      <c r="G20" s="151">
        <v>43344</v>
      </c>
      <c r="H20" s="151">
        <v>44915</v>
      </c>
      <c r="I20" s="152">
        <f>'ARCHIVO HISTÓRICO '!U16</f>
        <v>1</v>
      </c>
      <c r="J20" s="152">
        <f>'ARCHIVO HISTÓRICO '!W16</f>
        <v>0.66666666666666663</v>
      </c>
      <c r="K20" s="172">
        <f>'ARCHIVO HISTÓRICO '!AC16</f>
        <v>0.79951273532668887</v>
      </c>
      <c r="L20" s="151">
        <v>45290</v>
      </c>
      <c r="M20" s="148" t="s">
        <v>2614</v>
      </c>
      <c r="N20" s="148"/>
      <c r="O20" s="148"/>
      <c r="P20" s="155" t="s">
        <v>2631</v>
      </c>
    </row>
    <row r="21" spans="1:16" ht="29.25" thickBot="1">
      <c r="A21" s="156">
        <v>20</v>
      </c>
      <c r="B21" s="157">
        <v>2018</v>
      </c>
      <c r="C21" s="158" t="s">
        <v>2612</v>
      </c>
      <c r="D21" s="158" t="s">
        <v>2612</v>
      </c>
      <c r="E21" s="158" t="s">
        <v>2632</v>
      </c>
      <c r="F21" s="159" t="s">
        <v>2528</v>
      </c>
      <c r="G21" s="157" t="s">
        <v>2528</v>
      </c>
      <c r="H21" s="157" t="s">
        <v>2528</v>
      </c>
      <c r="I21" s="161" t="e">
        <f>#REF!</f>
        <v>#REF!</v>
      </c>
      <c r="J21" s="161" t="e">
        <f>#REF!</f>
        <v>#REF!</v>
      </c>
      <c r="K21" s="157" t="s">
        <v>2528</v>
      </c>
      <c r="L21" s="160" t="s">
        <v>2633</v>
      </c>
      <c r="M21" s="157" t="s">
        <v>2614</v>
      </c>
      <c r="N21" s="157"/>
      <c r="O21" s="157"/>
      <c r="P21" s="164" t="s">
        <v>2634</v>
      </c>
    </row>
    <row r="22" spans="1:16" ht="29.25" thickBot="1">
      <c r="A22" s="147">
        <v>21</v>
      </c>
      <c r="B22" s="148">
        <v>2019</v>
      </c>
      <c r="C22" s="149" t="s">
        <v>2612</v>
      </c>
      <c r="D22" s="149" t="s">
        <v>2612</v>
      </c>
      <c r="E22" s="148" t="s">
        <v>2635</v>
      </c>
      <c r="F22" s="150" t="s">
        <v>2528</v>
      </c>
      <c r="G22" s="151" t="s">
        <v>2528</v>
      </c>
      <c r="H22" s="151" t="s">
        <v>2528</v>
      </c>
      <c r="I22" s="152">
        <f>'CGR 2019'!Q30</f>
        <v>0.90615384615384609</v>
      </c>
      <c r="J22" s="152">
        <f>'CGR 2019'!U30</f>
        <v>0.34615384615384615</v>
      </c>
      <c r="K22" s="148" t="s">
        <v>2528</v>
      </c>
      <c r="L22" s="151">
        <v>45290</v>
      </c>
      <c r="M22" s="148" t="s">
        <v>16</v>
      </c>
      <c r="N22" s="148"/>
      <c r="O22" s="148"/>
      <c r="P22" s="155" t="s">
        <v>2634</v>
      </c>
    </row>
    <row r="23" spans="1:16" ht="43.5" thickBot="1">
      <c r="A23" s="156">
        <v>22</v>
      </c>
      <c r="B23" s="163">
        <v>2020</v>
      </c>
      <c r="C23" s="158" t="s">
        <v>2612</v>
      </c>
      <c r="D23" s="158" t="s">
        <v>2612</v>
      </c>
      <c r="E23" s="163" t="s">
        <v>2636</v>
      </c>
      <c r="F23" s="159" t="s">
        <v>2528</v>
      </c>
      <c r="G23" s="163" t="s">
        <v>2528</v>
      </c>
      <c r="H23" s="163" t="s">
        <v>2528</v>
      </c>
      <c r="I23" s="161">
        <f>'CGR 2020'!Q34</f>
        <v>0.94266666666666665</v>
      </c>
      <c r="J23" s="161">
        <f>'CGR 2020'!U34</f>
        <v>0.2</v>
      </c>
      <c r="K23" s="157" t="s">
        <v>2528</v>
      </c>
      <c r="L23" s="259">
        <v>45290</v>
      </c>
      <c r="M23" s="163" t="s">
        <v>16</v>
      </c>
      <c r="N23" s="157"/>
      <c r="O23" s="157"/>
      <c r="P23" s="164" t="s">
        <v>2634</v>
      </c>
    </row>
    <row r="24" spans="1:16" ht="43.5">
      <c r="A24" s="175">
        <v>23</v>
      </c>
      <c r="B24" s="176">
        <v>2021</v>
      </c>
      <c r="C24" s="177" t="s">
        <v>2612</v>
      </c>
      <c r="D24" s="177" t="s">
        <v>2612</v>
      </c>
      <c r="E24" s="178" t="s">
        <v>2637</v>
      </c>
      <c r="F24" s="179" t="s">
        <v>2528</v>
      </c>
      <c r="G24" s="180" t="s">
        <v>2528</v>
      </c>
      <c r="H24" s="180" t="s">
        <v>2528</v>
      </c>
      <c r="I24" s="181">
        <f>'CGR 2021'!Q40</f>
        <v>0.93444444444444441</v>
      </c>
      <c r="J24" s="181">
        <f>'CGR 2021'!U40</f>
        <v>0.63888888888888884</v>
      </c>
      <c r="K24" s="180" t="s">
        <v>2528</v>
      </c>
      <c r="L24" s="151">
        <v>45290</v>
      </c>
      <c r="M24" s="180" t="s">
        <v>16</v>
      </c>
      <c r="N24" s="180"/>
      <c r="O24" s="180"/>
      <c r="P24" s="182" t="s">
        <v>2634</v>
      </c>
    </row>
    <row r="25" spans="1:16" ht="12.75">
      <c r="A25" s="53"/>
      <c r="B25"/>
      <c r="C25"/>
      <c r="D25"/>
      <c r="E25"/>
      <c r="F25" s="60"/>
      <c r="G25"/>
      <c r="H25"/>
      <c r="I25"/>
      <c r="J25"/>
      <c r="K25"/>
      <c r="L25"/>
      <c r="M25"/>
      <c r="N25"/>
      <c r="O25"/>
      <c r="P25"/>
    </row>
    <row r="26" spans="1:16" ht="12.75">
      <c r="A26" s="53"/>
      <c r="B26"/>
      <c r="C26"/>
      <c r="D26"/>
      <c r="E26"/>
      <c r="F26" s="60"/>
      <c r="G26"/>
      <c r="H26"/>
      <c r="I26"/>
      <c r="J26"/>
      <c r="K26"/>
      <c r="L26"/>
      <c r="M26"/>
      <c r="N26"/>
      <c r="O26"/>
      <c r="P26"/>
    </row>
    <row r="27" spans="1:16" ht="12.75">
      <c r="A27" s="53"/>
      <c r="B27"/>
      <c r="C27"/>
      <c r="D27"/>
      <c r="E27"/>
      <c r="F27" s="60"/>
      <c r="G27"/>
      <c r="H27"/>
      <c r="I27" s="122" t="s">
        <v>2638</v>
      </c>
      <c r="J27" s="122" t="s">
        <v>2639</v>
      </c>
      <c r="K27" s="122" t="s">
        <v>2640</v>
      </c>
      <c r="L27"/>
      <c r="M27"/>
      <c r="N27"/>
      <c r="O27"/>
      <c r="P27"/>
    </row>
    <row r="28" spans="1:16" ht="42.75" customHeight="1">
      <c r="B28" s="54"/>
      <c r="C28" s="54"/>
      <c r="D28" s="54"/>
      <c r="E28" s="67"/>
      <c r="F28" s="845" t="s">
        <v>2641</v>
      </c>
      <c r="G28" s="846"/>
      <c r="H28" s="847"/>
      <c r="I28" s="61">
        <v>0.7</v>
      </c>
      <c r="J28" s="61">
        <v>0.67</v>
      </c>
      <c r="K28" s="61" t="e">
        <f>AVERAGE(Tabla13[Porcentaje de Avance 2023-2])</f>
        <v>#REF!</v>
      </c>
      <c r="L28" s="54"/>
      <c r="M28" s="54"/>
      <c r="N28" s="54"/>
      <c r="O28" s="54"/>
      <c r="P28" s="844"/>
    </row>
    <row r="29" spans="1:16" ht="45" customHeight="1">
      <c r="B29" s="54"/>
      <c r="C29" s="839" t="s">
        <v>2642</v>
      </c>
      <c r="D29" s="840"/>
      <c r="E29" s="54"/>
      <c r="F29" s="841" t="s">
        <v>2643</v>
      </c>
      <c r="G29" s="842"/>
      <c r="H29" s="843"/>
      <c r="I29" s="116">
        <v>0.8</v>
      </c>
      <c r="J29" s="61">
        <f>'DETALLE CGR'!M6</f>
        <v>0.89697649572649574</v>
      </c>
      <c r="K29" s="61">
        <f>'DETALLE CGR'!N6</f>
        <v>0.92775498575498572</v>
      </c>
      <c r="L29" s="54"/>
      <c r="M29" s="54"/>
      <c r="N29" s="54"/>
      <c r="O29" s="54"/>
      <c r="P29" s="844"/>
    </row>
    <row r="30" spans="1:16">
      <c r="B30" s="54"/>
      <c r="C30" s="117" t="s">
        <v>2644</v>
      </c>
      <c r="D30" s="117" t="s">
        <v>2645</v>
      </c>
      <c r="E30" s="67"/>
      <c r="F30" s="66"/>
      <c r="G30"/>
      <c r="H30"/>
      <c r="I30"/>
      <c r="J30"/>
      <c r="K30"/>
      <c r="L30"/>
      <c r="M30" s="54"/>
      <c r="N30" s="54"/>
      <c r="O30" s="54"/>
      <c r="P30" s="844"/>
    </row>
    <row r="31" spans="1:16">
      <c r="B31" s="54"/>
      <c r="C31" s="118" t="s">
        <v>2543</v>
      </c>
      <c r="D31" s="119" t="s">
        <v>2646</v>
      </c>
      <c r="E31" s="67"/>
      <c r="F31" s="66"/>
      <c r="G31"/>
      <c r="H31"/>
      <c r="I31"/>
      <c r="J31"/>
      <c r="K31"/>
      <c r="L31"/>
      <c r="M31" s="54"/>
      <c r="N31" s="54"/>
      <c r="O31" s="54"/>
      <c r="P31" s="844"/>
    </row>
    <row r="32" spans="1:16">
      <c r="B32" s="54"/>
      <c r="C32" s="120" t="s">
        <v>2647</v>
      </c>
      <c r="D32" s="120" t="s">
        <v>2648</v>
      </c>
      <c r="E32" s="67"/>
      <c r="F32" s="66"/>
      <c r="G32"/>
      <c r="H32"/>
      <c r="I32"/>
      <c r="J32"/>
      <c r="K32"/>
      <c r="L32"/>
      <c r="M32" s="54"/>
      <c r="N32" s="54"/>
      <c r="O32" s="54"/>
      <c r="P32" s="844"/>
    </row>
    <row r="33" spans="2:16" ht="15" customHeight="1">
      <c r="B33" s="54"/>
      <c r="C33" s="121" t="s">
        <v>2649</v>
      </c>
      <c r="D33" s="121" t="s">
        <v>2650</v>
      </c>
      <c r="E33" s="67"/>
      <c r="F33" s="66"/>
      <c r="G33"/>
      <c r="H33"/>
      <c r="I33"/>
      <c r="J33"/>
      <c r="K33"/>
      <c r="L33"/>
      <c r="M33" s="54"/>
      <c r="N33" s="54"/>
      <c r="O33" s="54"/>
      <c r="P33" s="844"/>
    </row>
    <row r="34" spans="2:16">
      <c r="B34" s="54"/>
      <c r="C34" s="54"/>
      <c r="D34" s="54"/>
      <c r="E34" s="67"/>
      <c r="F34" s="66"/>
      <c r="G34"/>
      <c r="H34"/>
      <c r="I34"/>
      <c r="J34"/>
      <c r="K34"/>
      <c r="L34"/>
      <c r="M34" s="54"/>
      <c r="N34" s="54"/>
      <c r="O34" s="54"/>
      <c r="P34" s="844"/>
    </row>
    <row r="35" spans="2:16" ht="15">
      <c r="B35" s="54"/>
      <c r="C35" s="111"/>
      <c r="D35" s="54"/>
      <c r="E35" s="54"/>
      <c r="F35" s="66"/>
      <c r="G35"/>
      <c r="H35"/>
      <c r="I35"/>
      <c r="J35"/>
      <c r="K35"/>
      <c r="L35"/>
      <c r="M35" s="54"/>
      <c r="N35" s="54"/>
      <c r="O35" s="54"/>
      <c r="P35" s="844"/>
    </row>
    <row r="36" spans="2:16" ht="15" customHeight="1">
      <c r="B36" s="54"/>
      <c r="C36" s="54"/>
      <c r="D36" s="54"/>
      <c r="E36" s="67"/>
      <c r="F36" s="66"/>
      <c r="G36"/>
      <c r="H36"/>
      <c r="I36"/>
      <c r="J36"/>
      <c r="K36"/>
      <c r="L36"/>
      <c r="M36" s="54"/>
      <c r="N36" s="54"/>
      <c r="O36" s="54"/>
      <c r="P36" s="844"/>
    </row>
    <row r="37" spans="2:16" ht="15" customHeight="1">
      <c r="B37" s="54"/>
      <c r="C37" s="54"/>
      <c r="D37" s="54"/>
      <c r="E37" s="67"/>
      <c r="F37" s="66"/>
      <c r="G37"/>
      <c r="H37"/>
      <c r="I37"/>
      <c r="J37"/>
      <c r="K37"/>
      <c r="L37"/>
      <c r="M37" s="54"/>
      <c r="N37" s="54"/>
      <c r="O37" s="54"/>
      <c r="P37" s="844"/>
    </row>
    <row r="38" spans="2:16" ht="15">
      <c r="B38" s="54"/>
      <c r="C38" s="54"/>
      <c r="D38" s="54"/>
      <c r="E38" s="67"/>
      <c r="F38" s="66"/>
      <c r="G38"/>
      <c r="H38"/>
      <c r="I38"/>
      <c r="J38"/>
      <c r="K38"/>
      <c r="L38"/>
      <c r="M38" s="111"/>
      <c r="N38" s="54"/>
      <c r="O38" s="54"/>
      <c r="P38" s="844"/>
    </row>
    <row r="39" spans="2:16" ht="15" customHeight="1">
      <c r="B39" s="54"/>
      <c r="C39" s="54"/>
      <c r="D39" s="54"/>
      <c r="E39" s="67"/>
      <c r="F39" s="66"/>
      <c r="G39"/>
      <c r="H39"/>
      <c r="I39"/>
      <c r="J39"/>
      <c r="K39"/>
      <c r="L39"/>
      <c r="M39" s="54"/>
      <c r="N39" s="54"/>
      <c r="O39" s="54"/>
      <c r="P39" s="844"/>
    </row>
    <row r="40" spans="2:16">
      <c r="B40" s="54"/>
      <c r="C40" s="54"/>
      <c r="D40" s="54"/>
      <c r="E40" s="67"/>
      <c r="F40" s="66"/>
      <c r="G40"/>
      <c r="H40"/>
      <c r="I40"/>
      <c r="J40"/>
      <c r="K40"/>
      <c r="L40"/>
      <c r="M40" s="54"/>
      <c r="N40" s="54"/>
      <c r="O40" s="54"/>
      <c r="P40" s="844"/>
    </row>
    <row r="41" spans="2:16">
      <c r="B41" s="54"/>
      <c r="C41" s="54"/>
      <c r="D41" s="54"/>
      <c r="E41" s="67"/>
      <c r="F41" s="66"/>
      <c r="G41"/>
      <c r="H41"/>
      <c r="I41"/>
      <c r="J41"/>
      <c r="K41"/>
      <c r="L41"/>
      <c r="M41" s="54"/>
      <c r="N41" s="54"/>
      <c r="O41" s="54"/>
      <c r="P41" s="114"/>
    </row>
    <row r="42" spans="2:16">
      <c r="B42" s="54"/>
      <c r="C42" s="54"/>
      <c r="D42" s="54"/>
      <c r="E42" s="67"/>
      <c r="F42" s="66"/>
      <c r="G42"/>
      <c r="H42"/>
      <c r="I42"/>
      <c r="J42"/>
      <c r="K42"/>
      <c r="L42"/>
      <c r="M42" s="54"/>
      <c r="N42" s="54"/>
      <c r="O42" s="54"/>
      <c r="P42" s="114"/>
    </row>
    <row r="43" spans="2:16">
      <c r="B43" s="54"/>
      <c r="C43" s="54"/>
      <c r="D43" s="54"/>
      <c r="E43" s="67"/>
      <c r="F43" s="66"/>
      <c r="G43"/>
      <c r="H43"/>
      <c r="I43"/>
      <c r="J43"/>
      <c r="K43"/>
      <c r="L43"/>
      <c r="M43" s="54"/>
      <c r="N43" s="54"/>
      <c r="O43" s="54"/>
      <c r="P43" s="114"/>
    </row>
    <row r="44" spans="2:16">
      <c r="G44"/>
      <c r="H44"/>
      <c r="I44"/>
      <c r="J44"/>
      <c r="K44"/>
      <c r="L44"/>
    </row>
    <row r="45" spans="2:16">
      <c r="G45"/>
      <c r="H45"/>
      <c r="I45"/>
      <c r="J45"/>
      <c r="K45"/>
      <c r="L45"/>
    </row>
    <row r="46" spans="2:16">
      <c r="G46"/>
      <c r="H46"/>
      <c r="I46"/>
      <c r="J46"/>
      <c r="K46"/>
      <c r="L46"/>
    </row>
    <row r="47" spans="2:16">
      <c r="G47"/>
      <c r="H47"/>
      <c r="I47"/>
      <c r="J47"/>
      <c r="K47"/>
      <c r="L47"/>
    </row>
    <row r="48" spans="2:16">
      <c r="G48"/>
      <c r="H48"/>
      <c r="I48"/>
      <c r="J48"/>
      <c r="K48"/>
      <c r="L48"/>
    </row>
    <row r="49" spans="7:12">
      <c r="G49"/>
      <c r="H49"/>
      <c r="I49"/>
      <c r="J49"/>
      <c r="K49"/>
      <c r="L49"/>
    </row>
    <row r="50" spans="7:12">
      <c r="G50"/>
      <c r="H50"/>
      <c r="I50"/>
      <c r="J50"/>
      <c r="K50"/>
      <c r="L50"/>
    </row>
    <row r="51" spans="7:12">
      <c r="G51"/>
      <c r="H51"/>
      <c r="I51"/>
      <c r="J51"/>
      <c r="K51"/>
      <c r="L51"/>
    </row>
    <row r="52" spans="7:12">
      <c r="G52"/>
      <c r="H52"/>
      <c r="I52"/>
      <c r="J52"/>
      <c r="K52"/>
      <c r="L52"/>
    </row>
    <row r="53" spans="7:12">
      <c r="G53"/>
      <c r="H53"/>
      <c r="I53"/>
      <c r="J53"/>
      <c r="K53"/>
      <c r="L53"/>
    </row>
    <row r="54" spans="7:12">
      <c r="G54"/>
      <c r="H54"/>
      <c r="I54"/>
      <c r="J54"/>
      <c r="K54"/>
      <c r="L54"/>
    </row>
  </sheetData>
  <mergeCells count="4">
    <mergeCell ref="C29:D29"/>
    <mergeCell ref="F29:H29"/>
    <mergeCell ref="P28:P40"/>
    <mergeCell ref="F28:H28"/>
  </mergeCells>
  <conditionalFormatting sqref="C30:D33">
    <cfRule type="colorScale" priority="3">
      <colorScale>
        <cfvo type="min"/>
        <cfvo type="percentile" val="50"/>
        <cfvo type="max"/>
        <color rgb="FFF8696B"/>
        <color rgb="FFFFEB84"/>
        <color rgb="FF63BE7B"/>
      </colorScale>
    </cfRule>
  </conditionalFormatting>
  <conditionalFormatting sqref="I16 I18">
    <cfRule type="cellIs" dxfId="40" priority="549" stopIfTrue="1" operator="between">
      <formula>0.8</formula>
      <formula>1</formula>
    </cfRule>
    <cfRule type="cellIs" dxfId="39" priority="550" stopIfTrue="1" operator="between">
      <formula>0.5</formula>
      <formula>0.79</formula>
    </cfRule>
    <cfRule type="cellIs" dxfId="38" priority="551" stopIfTrue="1" operator="between">
      <formula>0.3</formula>
      <formula>0.49</formula>
    </cfRule>
    <cfRule type="cellIs" dxfId="37" priority="552" stopIfTrue="1" operator="between">
      <formula>0</formula>
      <formula>0.29</formula>
    </cfRule>
  </conditionalFormatting>
  <conditionalFormatting sqref="I18 I16">
    <cfRule type="colorScale" priority="547">
      <colorScale>
        <cfvo type="min"/>
        <cfvo type="percentile" val="50"/>
        <cfvo type="max"/>
        <color rgb="FFF8696B"/>
        <color rgb="FFFFEB84"/>
        <color rgb="FF63BE7B"/>
      </colorScale>
    </cfRule>
    <cfRule type="colorScale" priority="548">
      <colorScale>
        <cfvo type="min"/>
        <cfvo type="percentile" val="50"/>
        <cfvo type="max"/>
        <color rgb="FFF8696B"/>
        <color rgb="FFFFEB84"/>
        <color rgb="FF63BE7B"/>
      </colorScale>
    </cfRule>
  </conditionalFormatting>
  <conditionalFormatting sqref="I19">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fRule type="colorScale" priority="16">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fRule type="cellIs" dxfId="36" priority="18" stopIfTrue="1" operator="between">
      <formula>0.8</formula>
      <formula>1</formula>
    </cfRule>
    <cfRule type="cellIs" dxfId="35" priority="19" stopIfTrue="1" operator="between">
      <formula>0.5</formula>
      <formula>0.79</formula>
    </cfRule>
    <cfRule type="cellIs" dxfId="34" priority="20" stopIfTrue="1" operator="between">
      <formula>0.3</formula>
      <formula>0.49</formula>
    </cfRule>
    <cfRule type="cellIs" dxfId="33" priority="21" stopIfTrue="1" operator="between">
      <formula>0</formula>
      <formula>0.29</formula>
    </cfRule>
    <cfRule type="colorScale" priority="22">
      <colorScale>
        <cfvo type="min"/>
        <cfvo type="percentile" val="50"/>
        <cfvo type="max"/>
        <color rgb="FF63BE7B"/>
        <color rgb="FFFFEB84"/>
        <color rgb="FFF8696B"/>
      </colorScale>
    </cfRule>
  </conditionalFormatting>
  <conditionalFormatting sqref="I1:J24 I28:J29">
    <cfRule type="colorScale" priority="715">
      <colorScale>
        <cfvo type="min"/>
        <cfvo type="percentile" val="50"/>
        <cfvo type="max"/>
        <color rgb="FFF8696B"/>
        <color rgb="FFFFEB84"/>
        <color rgb="FF63BE7B"/>
      </colorScale>
    </cfRule>
  </conditionalFormatting>
  <conditionalFormatting sqref="I17:J17 I20:J24 I2:J15">
    <cfRule type="colorScale" priority="763">
      <colorScale>
        <cfvo type="min"/>
        <cfvo type="percentile" val="50"/>
        <cfvo type="max"/>
        <color rgb="FFF8696B"/>
        <color rgb="FFFFEB84"/>
        <color rgb="FF63BE7B"/>
      </colorScale>
    </cfRule>
  </conditionalFormatting>
  <conditionalFormatting sqref="I17:J17 I20:J24 I10:J15 I2:J8">
    <cfRule type="colorScale" priority="742">
      <colorScale>
        <cfvo type="min"/>
        <cfvo type="percentile" val="50"/>
        <cfvo type="max"/>
        <color rgb="FFF8696B"/>
        <color rgb="FFFFEB84"/>
        <color rgb="FF63BE7B"/>
      </colorScale>
    </cfRule>
  </conditionalFormatting>
  <conditionalFormatting sqref="I18:J18 I16:J16">
    <cfRule type="colorScale" priority="559">
      <colorScale>
        <cfvo type="min"/>
        <cfvo type="percentile" val="50"/>
        <cfvo type="max"/>
        <color rgb="FFF8696B"/>
        <color rgb="FFFFEB84"/>
        <color rgb="FF63BE7B"/>
      </colorScale>
    </cfRule>
  </conditionalFormatting>
  <conditionalFormatting sqref="I19:J19">
    <cfRule type="colorScale" priority="23">
      <colorScale>
        <cfvo type="min"/>
        <cfvo type="percentile" val="50"/>
        <cfvo type="max"/>
        <color rgb="FFF8696B"/>
        <color rgb="FFFFEB84"/>
        <color rgb="FF63BE7B"/>
      </colorScale>
    </cfRule>
    <cfRule type="dataBar" priority="24">
      <dataBar>
        <cfvo type="min"/>
        <cfvo type="max"/>
        <color rgb="FF638EC6"/>
      </dataBar>
      <extLst>
        <ext xmlns:x14="http://schemas.microsoft.com/office/spreadsheetml/2009/9/main" uri="{B025F937-C7B1-47D3-B67F-A62EFF666E3E}">
          <x14:id>{E3F10FFA-A593-4E03-9D31-F128CDA9665C}</x14:id>
        </ext>
      </extLst>
    </cfRule>
  </conditionalFormatting>
  <conditionalFormatting sqref="I20:J24 I1:J18 I28:J29">
    <cfRule type="colorScale" priority="705">
      <colorScale>
        <cfvo type="min"/>
        <cfvo type="percentile" val="50"/>
        <cfvo type="max"/>
        <color rgb="FFF8696B"/>
        <color rgb="FFFFEB84"/>
        <color rgb="FF63BE7B"/>
      </colorScale>
    </cfRule>
  </conditionalFormatting>
  <conditionalFormatting sqref="I20:J24 I10:J18 I2:J8">
    <cfRule type="colorScale" priority="746">
      <colorScale>
        <cfvo type="min"/>
        <cfvo type="percentile" val="50"/>
        <cfvo type="max"/>
        <color rgb="FFF8696B"/>
        <color rgb="FFFFEB84"/>
        <color rgb="FF63BE7B"/>
      </colorScale>
    </cfRule>
  </conditionalFormatting>
  <conditionalFormatting sqref="I24:J24">
    <cfRule type="colorScale" priority="41">
      <colorScale>
        <cfvo type="min"/>
        <cfvo type="percentile" val="50"/>
        <cfvo type="max"/>
        <color rgb="FFF8696B"/>
        <color rgb="FFFFEB84"/>
        <color rgb="FF63BE7B"/>
      </colorScale>
    </cfRule>
  </conditionalFormatting>
  <conditionalFormatting sqref="I1:K18 I20:K1048576 I19:J19">
    <cfRule type="colorScale" priority="4">
      <colorScale>
        <cfvo type="min"/>
        <cfvo type="percentile" val="50"/>
        <cfvo type="max"/>
        <color rgb="FFF8696B"/>
        <color rgb="FFFFEB84"/>
        <color rgb="FF63BE7B"/>
      </colorScale>
    </cfRule>
  </conditionalFormatting>
  <conditionalFormatting sqref="I1:K1048576">
    <cfRule type="colorScale" priority="2">
      <colorScale>
        <cfvo type="min"/>
        <cfvo type="percentile" val="50"/>
        <cfvo type="max"/>
        <color rgb="FFF8696B"/>
        <color rgb="FFFFEB84"/>
        <color rgb="FF63BE7B"/>
      </colorScale>
    </cfRule>
  </conditionalFormatting>
  <conditionalFormatting sqref="I2:K8 I10:K17 J18:K18 I20:K24">
    <cfRule type="cellIs" dxfId="32" priority="45" stopIfTrue="1" operator="between">
      <formula>0.5</formula>
      <formula>0.79</formula>
    </cfRule>
    <cfRule type="cellIs" dxfId="31" priority="46" stopIfTrue="1" operator="between">
      <formula>0.3</formula>
      <formula>0.49</formula>
    </cfRule>
    <cfRule type="cellIs" dxfId="30" priority="47" stopIfTrue="1" operator="between">
      <formula>0</formula>
      <formula>0.29</formula>
    </cfRule>
  </conditionalFormatting>
  <conditionalFormatting sqref="I9:K12">
    <cfRule type="cellIs" dxfId="29" priority="48" stopIfTrue="1" operator="between">
      <formula>0.8</formula>
      <formula>1</formula>
    </cfRule>
    <cfRule type="cellIs" dxfId="28" priority="49" stopIfTrue="1" operator="between">
      <formula>0.5</formula>
      <formula>0.79</formula>
    </cfRule>
    <cfRule type="cellIs" dxfId="27" priority="50" stopIfTrue="1" operator="between">
      <formula>0.3</formula>
      <formula>0.49</formula>
    </cfRule>
    <cfRule type="cellIs" dxfId="26" priority="51" stopIfTrue="1" operator="between">
      <formula>0</formula>
      <formula>0.29</formula>
    </cfRule>
  </conditionalFormatting>
  <conditionalFormatting sqref="I20:K24 I2:K8 I10:K17 J18:K18">
    <cfRule type="cellIs" dxfId="25" priority="44" stopIfTrue="1" operator="between">
      <formula>0.8</formula>
      <formula>1</formula>
    </cfRule>
  </conditionalFormatting>
  <conditionalFormatting sqref="I28:K29">
    <cfRule type="cellIs" dxfId="24" priority="7" stopIfTrue="1" operator="between">
      <formula>0.8</formula>
      <formula>1</formula>
    </cfRule>
    <cfRule type="cellIs" dxfId="23" priority="8" stopIfTrue="1" operator="between">
      <formula>0.5</formula>
      <formula>0.79</formula>
    </cfRule>
    <cfRule type="cellIs" dxfId="22" priority="9" stopIfTrue="1" operator="between">
      <formula>0.3</formula>
      <formula>0.49</formula>
    </cfRule>
    <cfRule type="cellIs" dxfId="21" priority="10" stopIfTrue="1" operator="between">
      <formula>0</formula>
      <formula>0.29</formula>
    </cfRule>
  </conditionalFormatting>
  <conditionalFormatting sqref="J18 J16">
    <cfRule type="colorScale" priority="561">
      <colorScale>
        <cfvo type="min"/>
        <cfvo type="percentile" val="50"/>
        <cfvo type="max"/>
        <color rgb="FFF8696B"/>
        <color rgb="FFFFEB84"/>
        <color rgb="FF63BE7B"/>
      </colorScale>
    </cfRule>
  </conditionalFormatting>
  <conditionalFormatting sqref="J20:J24 J1:J18 J28:J29">
    <cfRule type="colorScale" priority="724">
      <colorScale>
        <cfvo type="min"/>
        <cfvo type="percentile" val="50"/>
        <cfvo type="max"/>
        <color rgb="FFF8696B"/>
        <color rgb="FFFFEB84"/>
        <color rgb="FF63BE7B"/>
      </colorScale>
    </cfRule>
  </conditionalFormatting>
  <conditionalFormatting sqref="K2:K18 K20:K24">
    <cfRule type="colorScale" priority="5">
      <colorScale>
        <cfvo type="min"/>
        <cfvo type="percentile" val="50"/>
        <cfvo type="max"/>
        <color rgb="FFF8696B"/>
        <color rgb="FFFFEB84"/>
        <color rgb="FF63BE7B"/>
      </colorScale>
    </cfRule>
  </conditionalFormatting>
  <conditionalFormatting sqref="K19">
    <cfRule type="colorScale" priority="1">
      <colorScale>
        <cfvo type="min"/>
        <cfvo type="percentile" val="50"/>
        <cfvo type="max"/>
        <color rgb="FFF8696B"/>
        <color rgb="FFFFEB84"/>
        <color rgb="FF63BE7B"/>
      </colorScale>
    </cfRule>
  </conditionalFormatting>
  <conditionalFormatting sqref="K28:K29">
    <cfRule type="colorScale" priority="11">
      <colorScale>
        <cfvo type="min"/>
        <cfvo type="percentile" val="50"/>
        <cfvo type="max"/>
        <color rgb="FFF8696B"/>
        <color rgb="FFFFEB84"/>
        <color rgb="FF63BE7B"/>
      </colorScale>
    </cfRule>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pageMargins left="0.7" right="0.7" top="0.75" bottom="0.75" header="0.3" footer="0.3"/>
  <ignoredErrors>
    <ignoredError sqref="I19:J19"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3F10FFA-A593-4E03-9D31-F128CDA9665C}">
            <x14:dataBar minLength="0" maxLength="100" border="1" negativeBarBorderColorSameAsPositive="0">
              <x14:cfvo type="autoMin"/>
              <x14:cfvo type="autoMax"/>
              <x14:borderColor rgb="FF638EC6"/>
              <x14:negativeFillColor rgb="FFFF0000"/>
              <x14:negativeBorderColor rgb="FFFF0000"/>
              <x14:axisColor rgb="FF000000"/>
            </x14:dataBar>
          </x14:cfRule>
          <xm:sqref>I19:J19</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8"/>
  <dimension ref="B1:I27"/>
  <sheetViews>
    <sheetView topLeftCell="A10" zoomScaleNormal="100" workbookViewId="0">
      <selection activeCell="C30" sqref="C30:D37"/>
    </sheetView>
  </sheetViews>
  <sheetFormatPr defaultColWidth="11.42578125" defaultRowHeight="12.75"/>
  <cols>
    <col min="1" max="1" width="18.140625" style="1" customWidth="1"/>
    <col min="2" max="2" width="5.140625" style="1" customWidth="1"/>
    <col min="3" max="3" width="38.5703125" style="1" customWidth="1"/>
    <col min="4" max="4" width="32.85546875" style="1" customWidth="1"/>
    <col min="5" max="5" width="29" style="1" customWidth="1"/>
    <col min="6" max="6" width="34.140625" style="1" customWidth="1"/>
    <col min="7" max="7" width="11.42578125" style="1"/>
    <col min="8" max="8" width="15.85546875" style="1" customWidth="1"/>
    <col min="9" max="9" width="20" style="1" customWidth="1"/>
    <col min="10" max="16384" width="11.42578125" style="1"/>
  </cols>
  <sheetData>
    <row r="1" spans="2:9" ht="17.25" customHeight="1">
      <c r="B1" s="848" t="s">
        <v>2651</v>
      </c>
      <c r="C1" s="848"/>
      <c r="D1" s="848"/>
      <c r="E1" s="848"/>
      <c r="F1" s="848"/>
    </row>
    <row r="2" spans="2:9" ht="14.25" customHeight="1">
      <c r="B2" s="4" t="s">
        <v>2503</v>
      </c>
      <c r="C2" s="5" t="s">
        <v>2652</v>
      </c>
      <c r="D2" s="5" t="s">
        <v>2653</v>
      </c>
      <c r="E2" s="5" t="s">
        <v>2654</v>
      </c>
      <c r="F2" s="5" t="s">
        <v>2602</v>
      </c>
      <c r="H2" s="848" t="s">
        <v>2655</v>
      </c>
      <c r="I2" s="848"/>
    </row>
    <row r="3" spans="2:9" ht="26.25" customHeight="1">
      <c r="B3" s="6">
        <v>1</v>
      </c>
      <c r="C3" s="7" t="s">
        <v>2656</v>
      </c>
      <c r="D3" s="8"/>
      <c r="E3" s="9" t="s">
        <v>2657</v>
      </c>
      <c r="F3" s="10" t="s">
        <v>2658</v>
      </c>
      <c r="H3" s="11"/>
      <c r="I3" s="2" t="s">
        <v>2659</v>
      </c>
    </row>
    <row r="4" spans="2:9" ht="24.75" customHeight="1">
      <c r="B4" s="6">
        <v>2</v>
      </c>
      <c r="C4" s="12" t="s">
        <v>2660</v>
      </c>
      <c r="D4" s="8"/>
      <c r="E4" s="9" t="s">
        <v>2661</v>
      </c>
      <c r="F4" s="13" t="s">
        <v>2662</v>
      </c>
      <c r="H4" s="14"/>
      <c r="I4" s="15" t="s">
        <v>2663</v>
      </c>
    </row>
    <row r="5" spans="2:9" ht="21.75" customHeight="1">
      <c r="B5" s="6">
        <v>3</v>
      </c>
      <c r="C5" s="7" t="s">
        <v>2664</v>
      </c>
      <c r="D5" s="8"/>
      <c r="E5" s="9" t="s">
        <v>2665</v>
      </c>
      <c r="F5" s="849" t="s">
        <v>2666</v>
      </c>
      <c r="H5" s="16"/>
      <c r="I5" s="2" t="s">
        <v>2667</v>
      </c>
    </row>
    <row r="6" spans="2:9" ht="14.25" customHeight="1">
      <c r="B6" s="6">
        <v>4</v>
      </c>
      <c r="C6" s="7" t="s">
        <v>2668</v>
      </c>
      <c r="D6" s="8"/>
      <c r="E6" s="9" t="s">
        <v>2669</v>
      </c>
      <c r="F6" s="850"/>
      <c r="H6" s="17"/>
      <c r="I6" s="17"/>
    </row>
    <row r="7" spans="2:9">
      <c r="B7" s="6">
        <v>5</v>
      </c>
      <c r="C7" s="7" t="s">
        <v>2670</v>
      </c>
      <c r="D7" s="8"/>
      <c r="E7" s="9" t="s">
        <v>2665</v>
      </c>
      <c r="F7" s="851"/>
    </row>
    <row r="8" spans="2:9" ht="25.5" customHeight="1">
      <c r="B8" s="6">
        <v>6</v>
      </c>
      <c r="C8" s="7" t="s">
        <v>2671</v>
      </c>
      <c r="D8" s="8"/>
      <c r="E8" s="9" t="s">
        <v>2672</v>
      </c>
      <c r="F8" s="10" t="s">
        <v>2658</v>
      </c>
    </row>
    <row r="9" spans="2:9" ht="15" customHeight="1">
      <c r="B9" s="6">
        <v>7</v>
      </c>
      <c r="C9" s="18" t="s">
        <v>2673</v>
      </c>
      <c r="D9" s="19" t="s">
        <v>2674</v>
      </c>
      <c r="E9" s="9" t="s">
        <v>2675</v>
      </c>
      <c r="F9" s="20" t="s">
        <v>2676</v>
      </c>
    </row>
    <row r="10" spans="2:9" ht="15" customHeight="1">
      <c r="B10" s="6">
        <v>8</v>
      </c>
      <c r="C10" s="7" t="s">
        <v>2677</v>
      </c>
      <c r="D10" s="21"/>
      <c r="E10" s="9" t="s">
        <v>2678</v>
      </c>
      <c r="F10" s="22" t="s">
        <v>2663</v>
      </c>
    </row>
    <row r="11" spans="2:9" ht="14.25" customHeight="1">
      <c r="B11" s="6">
        <v>10</v>
      </c>
      <c r="C11" s="7" t="s">
        <v>2679</v>
      </c>
      <c r="D11" s="8"/>
      <c r="E11" s="9" t="s">
        <v>2661</v>
      </c>
      <c r="F11" s="23"/>
    </row>
    <row r="12" spans="2:9" ht="12.75" customHeight="1">
      <c r="B12" s="6">
        <v>11</v>
      </c>
      <c r="C12" s="7" t="s">
        <v>2608</v>
      </c>
      <c r="D12" s="24">
        <v>43350</v>
      </c>
      <c r="E12" s="6" t="s">
        <v>2680</v>
      </c>
      <c r="F12" s="25" t="s">
        <v>2676</v>
      </c>
    </row>
    <row r="13" spans="2:9" ht="11.25" customHeight="1">
      <c r="B13" s="6">
        <v>12</v>
      </c>
      <c r="C13" s="7" t="s">
        <v>2681</v>
      </c>
      <c r="D13" s="21"/>
      <c r="E13" s="6" t="s">
        <v>2669</v>
      </c>
      <c r="F13" s="22" t="s">
        <v>2663</v>
      </c>
    </row>
    <row r="14" spans="2:9" ht="13.5" customHeight="1">
      <c r="B14" s="6">
        <v>13</v>
      </c>
      <c r="C14" s="7" t="s">
        <v>2682</v>
      </c>
      <c r="D14" s="26" t="s">
        <v>2683</v>
      </c>
      <c r="E14" s="6" t="s">
        <v>2684</v>
      </c>
      <c r="F14" s="25" t="s">
        <v>2676</v>
      </c>
    </row>
    <row r="15" spans="2:9" ht="13.5" customHeight="1">
      <c r="B15" s="6">
        <v>14</v>
      </c>
      <c r="C15" s="7" t="s">
        <v>2685</v>
      </c>
      <c r="D15" s="21"/>
      <c r="E15" s="6" t="s">
        <v>2686</v>
      </c>
      <c r="F15" s="22" t="s">
        <v>2663</v>
      </c>
    </row>
    <row r="16" spans="2:9" ht="38.25" customHeight="1">
      <c r="B16" s="6">
        <v>15</v>
      </c>
      <c r="C16" s="27" t="s">
        <v>2531</v>
      </c>
      <c r="D16" s="8"/>
      <c r="E16" s="9" t="s">
        <v>2687</v>
      </c>
      <c r="F16" s="28" t="s">
        <v>2688</v>
      </c>
    </row>
    <row r="19" spans="2:5">
      <c r="B19" s="848" t="s">
        <v>2689</v>
      </c>
      <c r="C19" s="848"/>
      <c r="D19" s="848"/>
      <c r="E19" s="848"/>
    </row>
    <row r="20" spans="2:5">
      <c r="B20" s="4" t="s">
        <v>2503</v>
      </c>
      <c r="C20" s="4" t="s">
        <v>2690</v>
      </c>
      <c r="D20" s="4" t="s">
        <v>1979</v>
      </c>
      <c r="E20" s="4" t="s">
        <v>2691</v>
      </c>
    </row>
    <row r="21" spans="2:5" ht="12.75" customHeight="1">
      <c r="B21" s="6">
        <v>1</v>
      </c>
      <c r="C21" s="21" t="s">
        <v>2622</v>
      </c>
      <c r="D21" s="9" t="s">
        <v>2692</v>
      </c>
      <c r="E21" s="6" t="s">
        <v>2693</v>
      </c>
    </row>
    <row r="22" spans="2:5" ht="11.25" customHeight="1">
      <c r="B22" s="6">
        <v>2</v>
      </c>
      <c r="C22" s="21" t="s">
        <v>2524</v>
      </c>
      <c r="D22" s="9" t="s">
        <v>2524</v>
      </c>
      <c r="E22" s="6" t="s">
        <v>2694</v>
      </c>
    </row>
    <row r="23" spans="2:5" ht="12" customHeight="1">
      <c r="B23" s="6">
        <v>3</v>
      </c>
      <c r="C23" s="21" t="s">
        <v>2520</v>
      </c>
      <c r="D23" s="852" t="s">
        <v>2695</v>
      </c>
      <c r="E23" s="853" t="s">
        <v>2696</v>
      </c>
    </row>
    <row r="24" spans="2:5" ht="11.25" customHeight="1">
      <c r="B24" s="6">
        <v>4</v>
      </c>
      <c r="C24" s="21" t="s">
        <v>2521</v>
      </c>
      <c r="D24" s="852"/>
      <c r="E24" s="854"/>
    </row>
    <row r="25" spans="2:5" ht="12" customHeight="1">
      <c r="B25" s="6">
        <v>5</v>
      </c>
      <c r="C25" s="21" t="s">
        <v>2697</v>
      </c>
      <c r="D25" s="852"/>
      <c r="E25" s="854"/>
    </row>
    <row r="26" spans="2:5" ht="13.5" customHeight="1">
      <c r="B26" s="6">
        <v>6</v>
      </c>
      <c r="C26" s="21" t="s">
        <v>2698</v>
      </c>
      <c r="D26" s="9" t="s">
        <v>2699</v>
      </c>
      <c r="E26" s="855"/>
    </row>
    <row r="27" spans="2:5" ht="12.75" customHeight="1">
      <c r="B27" s="6">
        <v>7</v>
      </c>
      <c r="C27" s="21" t="s">
        <v>2700</v>
      </c>
      <c r="D27" s="9" t="s">
        <v>766</v>
      </c>
      <c r="E27" s="6" t="s">
        <v>2701</v>
      </c>
    </row>
  </sheetData>
  <mergeCells count="6">
    <mergeCell ref="B1:F1"/>
    <mergeCell ref="H2:I2"/>
    <mergeCell ref="F5:F7"/>
    <mergeCell ref="B19:E19"/>
    <mergeCell ref="D23:D25"/>
    <mergeCell ref="E23:E26"/>
  </mergeCells>
  <pageMargins left="0.7" right="0.7" top="0.75" bottom="0.75" header="0.3" footer="0.3"/>
  <pageSetup paperSize="12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9"/>
  <dimension ref="A6:K18"/>
  <sheetViews>
    <sheetView workbookViewId="0">
      <selection activeCell="B17" sqref="B17"/>
    </sheetView>
  </sheetViews>
  <sheetFormatPr defaultColWidth="11.42578125" defaultRowHeight="12.75"/>
  <cols>
    <col min="2" max="2" width="32.85546875" customWidth="1"/>
    <col min="3" max="3" width="21.140625" customWidth="1"/>
    <col min="4" max="4" width="27.5703125" customWidth="1"/>
    <col min="5" max="5" width="22.85546875" customWidth="1"/>
    <col min="8" max="8" width="29.5703125" customWidth="1"/>
    <col min="9" max="9" width="38.140625" customWidth="1"/>
    <col min="10" max="10" width="22.42578125" customWidth="1"/>
    <col min="11" max="11" width="35" customWidth="1"/>
  </cols>
  <sheetData>
    <row r="6" spans="1:11">
      <c r="A6" s="32" t="s">
        <v>2503</v>
      </c>
      <c r="B6" s="32" t="s">
        <v>2563</v>
      </c>
      <c r="C6" s="32" t="s">
        <v>2505</v>
      </c>
      <c r="D6" s="32" t="s">
        <v>2702</v>
      </c>
      <c r="E6" s="32" t="s">
        <v>2703</v>
      </c>
      <c r="G6" s="856" t="s">
        <v>2689</v>
      </c>
      <c r="H6" s="856"/>
      <c r="I6" s="856"/>
      <c r="J6" s="856"/>
      <c r="K6" s="856"/>
    </row>
    <row r="7" spans="1:11" ht="23.25" customHeight="1">
      <c r="A7" s="30">
        <v>1</v>
      </c>
      <c r="B7" s="36" t="s">
        <v>2545</v>
      </c>
      <c r="C7" s="30" t="s">
        <v>2704</v>
      </c>
      <c r="D7" s="37" t="s">
        <v>2705</v>
      </c>
      <c r="E7" s="42">
        <v>0.33333333333333331</v>
      </c>
      <c r="G7" s="52" t="s">
        <v>2503</v>
      </c>
      <c r="H7" s="52" t="s">
        <v>2690</v>
      </c>
      <c r="I7" s="52" t="s">
        <v>1979</v>
      </c>
      <c r="J7" s="52" t="s">
        <v>2691</v>
      </c>
      <c r="K7" s="52" t="s">
        <v>2706</v>
      </c>
    </row>
    <row r="8" spans="1:11" ht="55.5" customHeight="1">
      <c r="A8" s="30">
        <v>2</v>
      </c>
      <c r="B8" s="34" t="s">
        <v>2707</v>
      </c>
      <c r="C8" s="30" t="s">
        <v>2708</v>
      </c>
      <c r="D8" s="31">
        <v>43794</v>
      </c>
      <c r="E8" s="43">
        <v>0.33333333333333331</v>
      </c>
      <c r="G8" s="44">
        <v>1</v>
      </c>
      <c r="H8" s="3" t="s">
        <v>2709</v>
      </c>
      <c r="I8" s="3" t="s">
        <v>2692</v>
      </c>
      <c r="J8" s="3" t="s">
        <v>2710</v>
      </c>
      <c r="K8" s="49" t="s">
        <v>2711</v>
      </c>
    </row>
    <row r="9" spans="1:11" ht="56.25" customHeight="1">
      <c r="A9" s="30">
        <v>3</v>
      </c>
      <c r="B9" s="34" t="s">
        <v>2712</v>
      </c>
      <c r="C9" s="30" t="s">
        <v>2713</v>
      </c>
      <c r="D9" s="31">
        <v>43782</v>
      </c>
      <c r="E9" s="41">
        <v>0.33333333333333331</v>
      </c>
      <c r="G9" s="44">
        <v>2</v>
      </c>
      <c r="H9" s="3" t="s">
        <v>2714</v>
      </c>
      <c r="I9" s="3" t="s">
        <v>2524</v>
      </c>
      <c r="J9" s="3" t="s">
        <v>2715</v>
      </c>
      <c r="K9" s="33" t="s">
        <v>2716</v>
      </c>
    </row>
    <row r="10" spans="1:11" ht="26.25" customHeight="1">
      <c r="A10" s="30"/>
      <c r="B10" s="34" t="s">
        <v>2717</v>
      </c>
      <c r="C10" s="30" t="s">
        <v>2708</v>
      </c>
      <c r="D10" s="31">
        <v>43782</v>
      </c>
      <c r="E10" s="41">
        <v>0.58333333333333337</v>
      </c>
      <c r="G10" s="44">
        <v>3</v>
      </c>
      <c r="H10" s="44" t="s">
        <v>2520</v>
      </c>
      <c r="I10" s="3" t="s">
        <v>2695</v>
      </c>
      <c r="J10" s="44" t="s">
        <v>2713</v>
      </c>
      <c r="K10" s="33" t="s">
        <v>2718</v>
      </c>
    </row>
    <row r="11" spans="1:11" ht="39.75" customHeight="1">
      <c r="A11" s="30">
        <v>4</v>
      </c>
      <c r="B11" s="34" t="s">
        <v>2719</v>
      </c>
      <c r="C11" s="30" t="s">
        <v>2720</v>
      </c>
      <c r="D11" s="38">
        <v>43782</v>
      </c>
      <c r="E11" s="41">
        <v>0.33333333333333331</v>
      </c>
      <c r="G11" s="45">
        <v>4</v>
      </c>
      <c r="H11" s="46" t="s">
        <v>2685</v>
      </c>
      <c r="I11" s="47" t="s">
        <v>177</v>
      </c>
      <c r="J11" s="3" t="s">
        <v>2721</v>
      </c>
      <c r="K11" s="33" t="s">
        <v>2722</v>
      </c>
    </row>
    <row r="12" spans="1:11" ht="37.5" customHeight="1">
      <c r="A12" s="30"/>
      <c r="B12" s="34" t="s">
        <v>2561</v>
      </c>
      <c r="C12" s="29" t="s">
        <v>2723</v>
      </c>
      <c r="D12" s="38">
        <v>43782</v>
      </c>
      <c r="E12" s="41">
        <v>0.33333333333333331</v>
      </c>
      <c r="G12" s="44" t="s">
        <v>2724</v>
      </c>
      <c r="H12" s="44" t="s">
        <v>2725</v>
      </c>
      <c r="I12" s="3" t="s">
        <v>2726</v>
      </c>
      <c r="J12" s="3" t="s">
        <v>2713</v>
      </c>
      <c r="K12" s="33" t="s">
        <v>2727</v>
      </c>
    </row>
    <row r="13" spans="1:11" ht="17.25" customHeight="1">
      <c r="A13" s="30">
        <v>6</v>
      </c>
      <c r="B13" s="34" t="s">
        <v>2728</v>
      </c>
      <c r="C13" s="30" t="s">
        <v>2729</v>
      </c>
      <c r="D13" s="31">
        <v>43782</v>
      </c>
      <c r="E13" s="41">
        <v>0.58333333333333337</v>
      </c>
      <c r="G13" s="44">
        <v>6</v>
      </c>
      <c r="H13" s="44" t="s">
        <v>778</v>
      </c>
      <c r="I13" s="3" t="s">
        <v>778</v>
      </c>
      <c r="J13" s="3" t="s">
        <v>2713</v>
      </c>
      <c r="K13" s="50" t="s">
        <v>2730</v>
      </c>
    </row>
    <row r="14" spans="1:11" ht="20.25" customHeight="1">
      <c r="A14" s="30">
        <v>7</v>
      </c>
      <c r="B14" s="34" t="s">
        <v>2731</v>
      </c>
      <c r="C14" s="30" t="s">
        <v>2732</v>
      </c>
      <c r="D14" s="31">
        <v>43782</v>
      </c>
      <c r="E14" s="41">
        <v>0.66666666666666663</v>
      </c>
      <c r="G14" s="3">
        <v>7</v>
      </c>
      <c r="H14" s="3" t="s">
        <v>2733</v>
      </c>
      <c r="I14" s="49" t="s">
        <v>2532</v>
      </c>
      <c r="J14" s="3" t="s">
        <v>2734</v>
      </c>
      <c r="K14" s="50" t="s">
        <v>2735</v>
      </c>
    </row>
    <row r="15" spans="1:11" ht="18.75" customHeight="1">
      <c r="A15" s="30">
        <v>10</v>
      </c>
      <c r="B15" s="34" t="s">
        <v>2736</v>
      </c>
      <c r="C15" s="30" t="s">
        <v>2737</v>
      </c>
      <c r="D15" s="31">
        <v>43783</v>
      </c>
      <c r="E15" s="41">
        <v>0.60416666666666663</v>
      </c>
      <c r="G15" s="3"/>
      <c r="H15" s="3" t="s">
        <v>2738</v>
      </c>
      <c r="I15" s="3" t="s">
        <v>2739</v>
      </c>
      <c r="J15" s="3"/>
      <c r="K15" s="50" t="s">
        <v>2735</v>
      </c>
    </row>
    <row r="16" spans="1:11" ht="27" customHeight="1">
      <c r="A16" s="30">
        <v>11</v>
      </c>
      <c r="B16" s="34" t="s">
        <v>2740</v>
      </c>
      <c r="C16" s="30" t="s">
        <v>2741</v>
      </c>
      <c r="D16" s="40">
        <v>43787</v>
      </c>
      <c r="E16" s="41">
        <v>0.58333333333333337</v>
      </c>
      <c r="G16" s="48"/>
      <c r="H16" s="3" t="s">
        <v>2742</v>
      </c>
      <c r="I16" s="49" t="s">
        <v>2743</v>
      </c>
      <c r="J16" s="49" t="s">
        <v>2744</v>
      </c>
      <c r="K16" s="51" t="s">
        <v>2745</v>
      </c>
    </row>
    <row r="17" spans="1:5" ht="20.25" customHeight="1">
      <c r="A17" s="56">
        <v>12</v>
      </c>
      <c r="B17" s="57" t="s">
        <v>2681</v>
      </c>
      <c r="C17" s="56" t="s">
        <v>2746</v>
      </c>
      <c r="D17" s="58">
        <v>43789</v>
      </c>
      <c r="E17" s="59">
        <v>0.58333333333333337</v>
      </c>
    </row>
    <row r="18" spans="1:5" ht="18" customHeight="1">
      <c r="A18" s="30">
        <v>13</v>
      </c>
      <c r="B18" s="34" t="s">
        <v>2700</v>
      </c>
      <c r="C18" s="35" t="s">
        <v>2747</v>
      </c>
      <c r="D18" s="39">
        <v>43791</v>
      </c>
      <c r="E18" s="41">
        <v>0.33333333333333331</v>
      </c>
    </row>
  </sheetData>
  <mergeCells count="1">
    <mergeCell ref="G6:K6"/>
  </mergeCells>
  <pageMargins left="0.7" right="0.7" top="0.75" bottom="0.75" header="0.3" footer="0.3"/>
  <pageSetup paperSize="12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52651-D27A-488F-BC63-4361D0FCEA52}">
  <sheetPr>
    <tabColor theme="0"/>
  </sheetPr>
  <dimension ref="A1:AD14"/>
  <sheetViews>
    <sheetView zoomScale="40" zoomScaleNormal="40" workbookViewId="0">
      <selection activeCell="Y14" sqref="Y14"/>
    </sheetView>
  </sheetViews>
  <sheetFormatPr defaultColWidth="18.85546875" defaultRowHeight="12.75"/>
  <cols>
    <col min="1" max="2" width="18.85546875" style="53"/>
    <col min="3" max="3" width="44.42578125" style="53" customWidth="1"/>
    <col min="4" max="4" width="49.42578125" style="53" customWidth="1"/>
    <col min="5" max="5" width="43" style="53" customWidth="1"/>
    <col min="6" max="6" width="62.85546875" style="53" customWidth="1"/>
    <col min="7" max="7" width="22.140625" style="53" customWidth="1"/>
    <col min="8" max="8" width="9.42578125" style="53" customWidth="1"/>
    <col min="9" max="9" width="19.5703125" style="53" customWidth="1"/>
    <col min="10" max="10" width="14.140625" style="53" customWidth="1"/>
    <col min="11" max="11" width="17.28515625" style="53" customWidth="1"/>
    <col min="12" max="12" width="21.42578125" style="53" customWidth="1"/>
    <col min="13" max="13" width="22.140625" style="53" customWidth="1"/>
    <col min="14" max="14" width="23" style="53" customWidth="1"/>
    <col min="15" max="15" width="15.140625" style="53" customWidth="1"/>
    <col min="16" max="16" width="22.5703125" style="53" customWidth="1"/>
    <col min="17" max="17" width="12" style="53" customWidth="1"/>
    <col min="18" max="18" width="9.42578125" style="53" customWidth="1"/>
    <col min="19" max="19" width="9.140625" style="53" customWidth="1"/>
    <col min="20" max="20" width="9.42578125" style="53" customWidth="1"/>
    <col min="21" max="21" width="11.140625" style="53" customWidth="1"/>
    <col min="22" max="22" width="20.140625" style="53" customWidth="1"/>
    <col min="23" max="23" width="9.42578125" style="53" bestFit="1" customWidth="1"/>
    <col min="24" max="24" width="29.5703125" style="53" customWidth="1"/>
    <col min="25" max="25" width="55.5703125" style="53" customWidth="1"/>
    <col min="26" max="26" width="13" style="53" bestFit="1" customWidth="1"/>
    <col min="27" max="28" width="9.140625" style="53" bestFit="1" customWidth="1"/>
    <col min="29" max="29" width="13" style="53" bestFit="1" customWidth="1"/>
    <col min="30" max="30" width="26.85546875" style="53" customWidth="1"/>
    <col min="31" max="16384" width="18.85546875" style="53"/>
  </cols>
  <sheetData>
    <row r="1" spans="1:30" ht="72"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3" t="s">
        <v>1</v>
      </c>
      <c r="AA1" s="663"/>
      <c r="AB1" s="663"/>
      <c r="AC1" s="663"/>
      <c r="AD1" s="663"/>
    </row>
    <row r="2" spans="1:30" ht="22.5"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63"/>
      <c r="AA2" s="663"/>
      <c r="AB2" s="663"/>
      <c r="AC2" s="663"/>
      <c r="AD2" s="663"/>
    </row>
    <row r="3" spans="1:30" ht="36.75" customHeight="1">
      <c r="A3" s="664" t="s">
        <v>6</v>
      </c>
      <c r="B3" s="664"/>
      <c r="C3" s="663" t="s">
        <v>218</v>
      </c>
      <c r="D3" s="663"/>
      <c r="E3" s="663"/>
      <c r="F3" s="663"/>
      <c r="G3" s="664" t="s">
        <v>8</v>
      </c>
      <c r="H3" s="664"/>
      <c r="I3" s="665">
        <v>43374</v>
      </c>
      <c r="J3" s="663"/>
      <c r="K3" s="663"/>
      <c r="L3" s="663"/>
      <c r="M3" s="663"/>
      <c r="N3" s="663"/>
      <c r="O3" s="664" t="s">
        <v>9</v>
      </c>
      <c r="P3" s="664"/>
      <c r="Q3" s="665" t="s">
        <v>157</v>
      </c>
      <c r="R3" s="665"/>
      <c r="S3" s="665"/>
      <c r="T3" s="665"/>
      <c r="U3" s="665"/>
      <c r="V3" s="665"/>
      <c r="W3" s="664" t="s">
        <v>10</v>
      </c>
      <c r="X3" s="664"/>
      <c r="Y3" s="511" t="s">
        <v>158</v>
      </c>
      <c r="Z3" s="663"/>
      <c r="AA3" s="663"/>
      <c r="AB3" s="663"/>
      <c r="AC3" s="663"/>
      <c r="AD3" s="663"/>
    </row>
    <row r="4" spans="1:30" ht="33" customHeight="1" thickBot="1">
      <c r="A4" s="664" t="s">
        <v>12</v>
      </c>
      <c r="B4" s="664"/>
      <c r="C4" s="663" t="s">
        <v>219</v>
      </c>
      <c r="D4" s="663"/>
      <c r="E4" s="663"/>
      <c r="F4" s="663"/>
      <c r="G4" s="664" t="s">
        <v>14</v>
      </c>
      <c r="H4" s="664"/>
      <c r="I4" s="665">
        <v>44560</v>
      </c>
      <c r="J4" s="665"/>
      <c r="K4" s="665"/>
      <c r="L4" s="665"/>
      <c r="M4" s="665"/>
      <c r="N4" s="665"/>
      <c r="O4" s="664" t="s">
        <v>15</v>
      </c>
      <c r="P4" s="664"/>
      <c r="Q4" s="663" t="s">
        <v>16</v>
      </c>
      <c r="R4" s="663"/>
      <c r="S4" s="663"/>
      <c r="T4" s="664" t="s">
        <v>17</v>
      </c>
      <c r="U4" s="664"/>
      <c r="V4" s="663"/>
      <c r="W4" s="663"/>
      <c r="X4" s="663"/>
      <c r="Y4" s="663"/>
      <c r="Z4" s="663"/>
      <c r="AA4" s="663"/>
      <c r="AB4" s="663"/>
      <c r="AC4" s="663"/>
      <c r="AD4" s="663"/>
    </row>
    <row r="5" spans="1:30" ht="45.75" customHeight="1" thickBot="1">
      <c r="A5" s="691" t="s">
        <v>18</v>
      </c>
      <c r="B5" s="692"/>
      <c r="C5" s="692"/>
      <c r="D5" s="692"/>
      <c r="E5" s="692"/>
      <c r="F5" s="692"/>
      <c r="G5" s="692"/>
      <c r="H5" s="692"/>
      <c r="I5" s="692"/>
      <c r="J5" s="692"/>
      <c r="K5" s="692"/>
      <c r="L5" s="692"/>
      <c r="M5" s="692"/>
      <c r="N5" s="693"/>
      <c r="O5" s="694" t="s">
        <v>19</v>
      </c>
      <c r="P5" s="695"/>
      <c r="Q5" s="695"/>
      <c r="R5" s="695"/>
      <c r="S5" s="695"/>
      <c r="T5" s="695"/>
      <c r="U5" s="695"/>
      <c r="V5" s="695"/>
      <c r="W5" s="695"/>
      <c r="X5" s="695"/>
      <c r="Y5" s="696"/>
      <c r="Z5" s="697" t="s">
        <v>20</v>
      </c>
      <c r="AA5" s="698"/>
      <c r="AB5" s="698"/>
      <c r="AC5" s="698"/>
      <c r="AD5" s="699"/>
    </row>
    <row r="6" spans="1:30" ht="120.75" thickBot="1">
      <c r="A6" s="457" t="s">
        <v>21</v>
      </c>
      <c r="B6" s="457" t="s">
        <v>22</v>
      </c>
      <c r="C6" s="457" t="s">
        <v>23</v>
      </c>
      <c r="D6" s="457" t="s">
        <v>24</v>
      </c>
      <c r="E6" s="457" t="s">
        <v>25</v>
      </c>
      <c r="F6" s="457" t="s">
        <v>26</v>
      </c>
      <c r="G6" s="457" t="s">
        <v>27</v>
      </c>
      <c r="H6" s="457" t="s">
        <v>28</v>
      </c>
      <c r="I6" s="457" t="s">
        <v>29</v>
      </c>
      <c r="J6" s="457" t="s">
        <v>30</v>
      </c>
      <c r="K6" s="457" t="s">
        <v>31</v>
      </c>
      <c r="L6" s="457" t="s">
        <v>32</v>
      </c>
      <c r="M6" s="457" t="s">
        <v>33</v>
      </c>
      <c r="N6" s="457" t="s">
        <v>34</v>
      </c>
      <c r="O6" s="458" t="s">
        <v>35</v>
      </c>
      <c r="P6" s="458" t="s">
        <v>36</v>
      </c>
      <c r="Q6" s="458" t="s">
        <v>37</v>
      </c>
      <c r="R6" s="458" t="s">
        <v>38</v>
      </c>
      <c r="S6" s="458" t="s">
        <v>39</v>
      </c>
      <c r="T6" s="458" t="s">
        <v>40</v>
      </c>
      <c r="U6" s="458" t="s">
        <v>41</v>
      </c>
      <c r="V6" s="458" t="s">
        <v>42</v>
      </c>
      <c r="W6" s="458" t="s">
        <v>43</v>
      </c>
      <c r="X6" s="458" t="s">
        <v>44</v>
      </c>
      <c r="Y6" s="458" t="s">
        <v>45</v>
      </c>
      <c r="Z6" s="459" t="s">
        <v>46</v>
      </c>
      <c r="AA6" s="459" t="s">
        <v>47</v>
      </c>
      <c r="AB6" s="459" t="s">
        <v>48</v>
      </c>
      <c r="AC6" s="459" t="s">
        <v>49</v>
      </c>
      <c r="AD6" s="459" t="s">
        <v>50</v>
      </c>
    </row>
    <row r="7" spans="1:30" ht="320.25" customHeight="1">
      <c r="A7" s="272" t="s">
        <v>51</v>
      </c>
      <c r="B7" s="272" t="s">
        <v>52</v>
      </c>
      <c r="C7" s="570" t="s">
        <v>220</v>
      </c>
      <c r="D7" s="272" t="s">
        <v>221</v>
      </c>
      <c r="E7" s="272" t="s">
        <v>222</v>
      </c>
      <c r="F7" s="272" t="s">
        <v>223</v>
      </c>
      <c r="G7" s="272" t="s">
        <v>224</v>
      </c>
      <c r="H7" s="272">
        <v>1</v>
      </c>
      <c r="I7" s="258" t="s">
        <v>225</v>
      </c>
      <c r="J7" s="272" t="s">
        <v>59</v>
      </c>
      <c r="K7" s="272" t="s">
        <v>60</v>
      </c>
      <c r="L7" s="272" t="s">
        <v>224</v>
      </c>
      <c r="M7" s="259">
        <v>43374</v>
      </c>
      <c r="N7" s="259">
        <v>44560</v>
      </c>
      <c r="O7" s="503">
        <f t="shared" ref="O7:O13" si="0">(+N7-M7)/7</f>
        <v>169.42857142857142</v>
      </c>
      <c r="P7" s="259">
        <v>44908</v>
      </c>
      <c r="Q7" s="258"/>
      <c r="R7" s="504">
        <f t="shared" ref="R7:R13" si="1">(P7-M7)/7-O7</f>
        <v>49.714285714285722</v>
      </c>
      <c r="S7" s="505" t="str">
        <f t="shared" ref="S7:S13" ca="1" si="2">IF((N7-TODAY())/7&gt;=0,"En tiempo","Alerta")</f>
        <v>Alerta</v>
      </c>
      <c r="T7" s="506">
        <v>0.1</v>
      </c>
      <c r="U7" s="161">
        <f t="shared" ref="U7:U13" si="3">IF(T7/H7=1,1,+T7/H7)</f>
        <v>0.1</v>
      </c>
      <c r="V7" s="507">
        <f t="shared" ref="V7:V13" si="4">IF(R7&gt;O7,0%,IF(R7&lt;=0,"100%",1-(R7/O7)))</f>
        <v>0.70657672849915676</v>
      </c>
      <c r="W7" s="508" t="str">
        <f t="shared" ref="W7:W13" si="5">IF(P7&lt;=N7,"Cumple","Incumple")</f>
        <v>Incumple</v>
      </c>
      <c r="X7" s="258"/>
      <c r="Y7" s="573" t="s">
        <v>226</v>
      </c>
      <c r="Z7" s="509">
        <f t="shared" ref="Z7:Z13" si="6">(U7+V7)/2</f>
        <v>0.40328836424957837</v>
      </c>
      <c r="AA7" s="509"/>
      <c r="AB7" s="509"/>
      <c r="AC7" s="509">
        <f t="shared" ref="AC7:AC13" si="7">AVERAGE(Z7:AB7)</f>
        <v>0.40328836424957837</v>
      </c>
      <c r="AD7" s="258"/>
    </row>
    <row r="8" spans="1:30" ht="324.75" customHeight="1">
      <c r="A8" s="272" t="s">
        <v>51</v>
      </c>
      <c r="B8" s="272" t="s">
        <v>52</v>
      </c>
      <c r="C8" s="272" t="s">
        <v>227</v>
      </c>
      <c r="D8" s="272" t="s">
        <v>228</v>
      </c>
      <c r="E8" s="272" t="s">
        <v>229</v>
      </c>
      <c r="F8" s="272" t="s">
        <v>230</v>
      </c>
      <c r="G8" s="272" t="s">
        <v>224</v>
      </c>
      <c r="H8" s="272">
        <v>1</v>
      </c>
      <c r="I8" s="258" t="s">
        <v>225</v>
      </c>
      <c r="J8" s="272" t="s">
        <v>59</v>
      </c>
      <c r="K8" s="272" t="s">
        <v>60</v>
      </c>
      <c r="L8" s="272" t="s">
        <v>224</v>
      </c>
      <c r="M8" s="259">
        <v>43374</v>
      </c>
      <c r="N8" s="259">
        <v>44560</v>
      </c>
      <c r="O8" s="503">
        <f t="shared" si="0"/>
        <v>169.42857142857142</v>
      </c>
      <c r="P8" s="259">
        <v>44908</v>
      </c>
      <c r="Q8" s="258"/>
      <c r="R8" s="504">
        <f t="shared" si="1"/>
        <v>49.714285714285722</v>
      </c>
      <c r="S8" s="505" t="str">
        <f t="shared" ca="1" si="2"/>
        <v>Alerta</v>
      </c>
      <c r="T8" s="506">
        <v>0.1</v>
      </c>
      <c r="U8" s="161">
        <f t="shared" si="3"/>
        <v>0.1</v>
      </c>
      <c r="V8" s="507">
        <f t="shared" si="4"/>
        <v>0.70657672849915676</v>
      </c>
      <c r="W8" s="508" t="str">
        <f t="shared" si="5"/>
        <v>Incumple</v>
      </c>
      <c r="X8" s="258"/>
      <c r="Y8" s="573" t="s">
        <v>231</v>
      </c>
      <c r="Z8" s="509">
        <f t="shared" si="6"/>
        <v>0.40328836424957837</v>
      </c>
      <c r="AA8" s="509"/>
      <c r="AB8" s="509"/>
      <c r="AC8" s="509">
        <f t="shared" si="7"/>
        <v>0.40328836424957837</v>
      </c>
      <c r="AD8" s="258" t="s">
        <v>0</v>
      </c>
    </row>
    <row r="9" spans="1:30" ht="72">
      <c r="A9" s="272" t="s">
        <v>51</v>
      </c>
      <c r="B9" s="272" t="s">
        <v>52</v>
      </c>
      <c r="C9" s="272" t="s">
        <v>232</v>
      </c>
      <c r="D9" s="272" t="s">
        <v>233</v>
      </c>
      <c r="E9" s="272" t="s">
        <v>234</v>
      </c>
      <c r="F9" s="272" t="s">
        <v>235</v>
      </c>
      <c r="G9" s="272" t="s">
        <v>236</v>
      </c>
      <c r="H9" s="272">
        <v>1</v>
      </c>
      <c r="I9" s="258" t="s">
        <v>225</v>
      </c>
      <c r="J9" s="272" t="s">
        <v>59</v>
      </c>
      <c r="K9" s="272" t="s">
        <v>60</v>
      </c>
      <c r="L9" s="272" t="s">
        <v>236</v>
      </c>
      <c r="M9" s="259">
        <v>43374</v>
      </c>
      <c r="N9" s="259">
        <v>44560</v>
      </c>
      <c r="O9" s="503">
        <f t="shared" si="0"/>
        <v>169.42857142857142</v>
      </c>
      <c r="P9" s="259">
        <v>44908</v>
      </c>
      <c r="Q9" s="258"/>
      <c r="R9" s="504">
        <f t="shared" si="1"/>
        <v>49.714285714285722</v>
      </c>
      <c r="S9" s="505" t="str">
        <f t="shared" ca="1" si="2"/>
        <v>Alerta</v>
      </c>
      <c r="T9" s="258">
        <v>0</v>
      </c>
      <c r="U9" s="161">
        <f t="shared" si="3"/>
        <v>0</v>
      </c>
      <c r="V9" s="507">
        <f t="shared" si="4"/>
        <v>0.70657672849915676</v>
      </c>
      <c r="W9" s="508" t="str">
        <f t="shared" si="5"/>
        <v>Incumple</v>
      </c>
      <c r="X9" s="258"/>
      <c r="Y9" s="573" t="s">
        <v>237</v>
      </c>
      <c r="Z9" s="509">
        <f t="shared" si="6"/>
        <v>0.35328836424957838</v>
      </c>
      <c r="AA9" s="509"/>
      <c r="AB9" s="509"/>
      <c r="AC9" s="509">
        <f t="shared" si="7"/>
        <v>0.35328836424957838</v>
      </c>
      <c r="AD9" s="258"/>
    </row>
    <row r="10" spans="1:30" ht="57.75">
      <c r="A10" s="272" t="s">
        <v>51</v>
      </c>
      <c r="B10" s="272" t="s">
        <v>52</v>
      </c>
      <c r="C10" s="272" t="s">
        <v>238</v>
      </c>
      <c r="D10" s="272" t="s">
        <v>239</v>
      </c>
      <c r="E10" s="272" t="s">
        <v>240</v>
      </c>
      <c r="F10" s="272" t="s">
        <v>241</v>
      </c>
      <c r="G10" s="272" t="s">
        <v>242</v>
      </c>
      <c r="H10" s="272">
        <v>1</v>
      </c>
      <c r="I10" s="258" t="s">
        <v>225</v>
      </c>
      <c r="J10" s="272" t="s">
        <v>59</v>
      </c>
      <c r="K10" s="272" t="s">
        <v>60</v>
      </c>
      <c r="L10" s="272" t="s">
        <v>242</v>
      </c>
      <c r="M10" s="259">
        <v>43374</v>
      </c>
      <c r="N10" s="259">
        <v>44560</v>
      </c>
      <c r="O10" s="503">
        <f t="shared" si="0"/>
        <v>169.42857142857142</v>
      </c>
      <c r="P10" s="259">
        <v>44908</v>
      </c>
      <c r="Q10" s="258"/>
      <c r="R10" s="504">
        <f t="shared" si="1"/>
        <v>49.714285714285722</v>
      </c>
      <c r="S10" s="505" t="str">
        <f t="shared" ca="1" si="2"/>
        <v>Alerta</v>
      </c>
      <c r="T10" s="258">
        <v>0</v>
      </c>
      <c r="U10" s="161">
        <f t="shared" si="3"/>
        <v>0</v>
      </c>
      <c r="V10" s="507">
        <f t="shared" si="4"/>
        <v>0.70657672849915676</v>
      </c>
      <c r="W10" s="508" t="str">
        <f t="shared" si="5"/>
        <v>Incumple</v>
      </c>
      <c r="X10" s="258"/>
      <c r="Y10" s="573" t="s">
        <v>237</v>
      </c>
      <c r="Z10" s="509">
        <f t="shared" si="6"/>
        <v>0.35328836424957838</v>
      </c>
      <c r="AA10" s="509"/>
      <c r="AB10" s="509"/>
      <c r="AC10" s="509">
        <f t="shared" si="7"/>
        <v>0.35328836424957838</v>
      </c>
      <c r="AD10" s="258"/>
    </row>
    <row r="11" spans="1:30" ht="43.5">
      <c r="A11" s="272" t="s">
        <v>51</v>
      </c>
      <c r="B11" s="272" t="s">
        <v>52</v>
      </c>
      <c r="C11" s="272" t="s">
        <v>243</v>
      </c>
      <c r="D11" s="272" t="s">
        <v>244</v>
      </c>
      <c r="E11" s="272" t="s">
        <v>245</v>
      </c>
      <c r="F11" s="272" t="s">
        <v>246</v>
      </c>
      <c r="G11" s="272" t="s">
        <v>247</v>
      </c>
      <c r="H11" s="272">
        <v>1</v>
      </c>
      <c r="I11" s="258" t="s">
        <v>225</v>
      </c>
      <c r="J11" s="272" t="s">
        <v>59</v>
      </c>
      <c r="K11" s="272" t="s">
        <v>60</v>
      </c>
      <c r="L11" s="272" t="s">
        <v>247</v>
      </c>
      <c r="M11" s="259">
        <v>43374</v>
      </c>
      <c r="N11" s="259">
        <v>44560</v>
      </c>
      <c r="O11" s="503">
        <f t="shared" si="0"/>
        <v>169.42857142857142</v>
      </c>
      <c r="P11" s="259">
        <v>44908</v>
      </c>
      <c r="Q11" s="258"/>
      <c r="R11" s="504">
        <f t="shared" si="1"/>
        <v>49.714285714285722</v>
      </c>
      <c r="S11" s="505" t="str">
        <f t="shared" ca="1" si="2"/>
        <v>Alerta</v>
      </c>
      <c r="T11" s="258">
        <v>0</v>
      </c>
      <c r="U11" s="161">
        <f t="shared" si="3"/>
        <v>0</v>
      </c>
      <c r="V11" s="507">
        <f t="shared" si="4"/>
        <v>0.70657672849915676</v>
      </c>
      <c r="W11" s="508" t="str">
        <f t="shared" si="5"/>
        <v>Incumple</v>
      </c>
      <c r="X11" s="258"/>
      <c r="Y11" s="573" t="s">
        <v>237</v>
      </c>
      <c r="Z11" s="509">
        <f t="shared" si="6"/>
        <v>0.35328836424957838</v>
      </c>
      <c r="AA11" s="509"/>
      <c r="AB11" s="509"/>
      <c r="AC11" s="509">
        <f t="shared" si="7"/>
        <v>0.35328836424957838</v>
      </c>
      <c r="AD11" s="258"/>
    </row>
    <row r="12" spans="1:30" ht="43.5">
      <c r="A12" s="272" t="s">
        <v>51</v>
      </c>
      <c r="B12" s="272" t="s">
        <v>52</v>
      </c>
      <c r="C12" s="272" t="s">
        <v>248</v>
      </c>
      <c r="D12" s="272" t="s">
        <v>249</v>
      </c>
      <c r="E12" s="272" t="s">
        <v>250</v>
      </c>
      <c r="F12" s="272" t="s">
        <v>251</v>
      </c>
      <c r="G12" s="272" t="s">
        <v>252</v>
      </c>
      <c r="H12" s="272">
        <v>1</v>
      </c>
      <c r="I12" s="258" t="s">
        <v>225</v>
      </c>
      <c r="J12" s="272" t="s">
        <v>59</v>
      </c>
      <c r="K12" s="272" t="s">
        <v>60</v>
      </c>
      <c r="L12" s="272" t="s">
        <v>252</v>
      </c>
      <c r="M12" s="259">
        <v>43374</v>
      </c>
      <c r="N12" s="259">
        <v>44560</v>
      </c>
      <c r="O12" s="503">
        <f t="shared" si="0"/>
        <v>169.42857142857142</v>
      </c>
      <c r="P12" s="259">
        <v>44908</v>
      </c>
      <c r="Q12" s="258"/>
      <c r="R12" s="504">
        <f t="shared" si="1"/>
        <v>49.714285714285722</v>
      </c>
      <c r="S12" s="505" t="str">
        <f t="shared" ca="1" si="2"/>
        <v>Alerta</v>
      </c>
      <c r="T12" s="258">
        <v>0</v>
      </c>
      <c r="U12" s="161">
        <f t="shared" si="3"/>
        <v>0</v>
      </c>
      <c r="V12" s="507">
        <f t="shared" si="4"/>
        <v>0.70657672849915676</v>
      </c>
      <c r="W12" s="508" t="str">
        <f t="shared" si="5"/>
        <v>Incumple</v>
      </c>
      <c r="X12" s="258"/>
      <c r="Y12" s="573" t="s">
        <v>237</v>
      </c>
      <c r="Z12" s="509">
        <f t="shared" si="6"/>
        <v>0.35328836424957838</v>
      </c>
      <c r="AA12" s="509"/>
      <c r="AB12" s="509"/>
      <c r="AC12" s="509">
        <f t="shared" si="7"/>
        <v>0.35328836424957838</v>
      </c>
      <c r="AD12" s="258"/>
    </row>
    <row r="13" spans="1:30" ht="43.5">
      <c r="A13" s="272" t="s">
        <v>51</v>
      </c>
      <c r="B13" s="272" t="s">
        <v>52</v>
      </c>
      <c r="C13" s="272" t="s">
        <v>253</v>
      </c>
      <c r="D13" s="272" t="s">
        <v>254</v>
      </c>
      <c r="E13" s="272" t="s">
        <v>255</v>
      </c>
      <c r="F13" s="510" t="s">
        <v>256</v>
      </c>
      <c r="G13" s="272" t="s">
        <v>257</v>
      </c>
      <c r="H13" s="272">
        <v>1</v>
      </c>
      <c r="I13" s="258" t="s">
        <v>225</v>
      </c>
      <c r="J13" s="272" t="s">
        <v>59</v>
      </c>
      <c r="K13" s="272" t="s">
        <v>60</v>
      </c>
      <c r="L13" s="272" t="s">
        <v>257</v>
      </c>
      <c r="M13" s="259">
        <v>43374</v>
      </c>
      <c r="N13" s="259">
        <v>44560</v>
      </c>
      <c r="O13" s="503">
        <f t="shared" si="0"/>
        <v>169.42857142857142</v>
      </c>
      <c r="P13" s="259">
        <v>44908</v>
      </c>
      <c r="Q13" s="258"/>
      <c r="R13" s="504">
        <f t="shared" si="1"/>
        <v>49.714285714285722</v>
      </c>
      <c r="S13" s="505" t="str">
        <f t="shared" ca="1" si="2"/>
        <v>Alerta</v>
      </c>
      <c r="T13" s="258">
        <v>0</v>
      </c>
      <c r="U13" s="161">
        <f t="shared" si="3"/>
        <v>0</v>
      </c>
      <c r="V13" s="507">
        <f t="shared" si="4"/>
        <v>0.70657672849915676</v>
      </c>
      <c r="W13" s="508" t="str">
        <f t="shared" si="5"/>
        <v>Incumple</v>
      </c>
      <c r="X13" s="258"/>
      <c r="Y13" s="573" t="s">
        <v>237</v>
      </c>
      <c r="Z13" s="258">
        <f t="shared" si="6"/>
        <v>0.35328836424957838</v>
      </c>
      <c r="AA13" s="258"/>
      <c r="AB13" s="258"/>
      <c r="AC13" s="258">
        <f t="shared" si="7"/>
        <v>0.35328836424957838</v>
      </c>
      <c r="AD13" s="258"/>
    </row>
    <row r="14" spans="1:30" ht="45.75" customHeight="1" thickBot="1">
      <c r="G14" s="327" t="s">
        <v>153</v>
      </c>
      <c r="H14" s="336">
        <f>SUM(H7:H13)</f>
        <v>7</v>
      </c>
      <c r="R14" s="689" t="s">
        <v>154</v>
      </c>
      <c r="S14" s="690"/>
      <c r="T14" s="354">
        <f>SUM(T7:T13)</f>
        <v>0.2</v>
      </c>
      <c r="U14" s="161">
        <f>AVERAGE(U7:U13)</f>
        <v>2.8571428571428574E-2</v>
      </c>
      <c r="V14" s="352" t="s">
        <v>43</v>
      </c>
      <c r="W14" s="353">
        <f>(COUNTIF(W7:W13,"Cumple"))/COUNTA(W7:W13)</f>
        <v>0</v>
      </c>
      <c r="AA14" s="689" t="s">
        <v>154</v>
      </c>
      <c r="AB14" s="690"/>
      <c r="AC14" s="353">
        <f>AVERAGE(AC7:AC13)</f>
        <v>0.36757407853529267</v>
      </c>
    </row>
  </sheetData>
  <mergeCells count="29">
    <mergeCell ref="AA14:AB14"/>
    <mergeCell ref="R14:S14"/>
    <mergeCell ref="T4:U4"/>
    <mergeCell ref="V4:Y4"/>
    <mergeCell ref="A4:B4"/>
    <mergeCell ref="C4:F4"/>
    <mergeCell ref="G4:H4"/>
    <mergeCell ref="I4:N4"/>
    <mergeCell ref="O4:P4"/>
    <mergeCell ref="Q4:S4"/>
    <mergeCell ref="A5:N5"/>
    <mergeCell ref="O5:Y5"/>
    <mergeCell ref="Z5:AD5"/>
    <mergeCell ref="W3:X3"/>
    <mergeCell ref="O1:P2"/>
    <mergeCell ref="Q1:Y2"/>
    <mergeCell ref="Z1:AD4"/>
    <mergeCell ref="A2:B2"/>
    <mergeCell ref="C2:F2"/>
    <mergeCell ref="G2:H2"/>
    <mergeCell ref="I2:N2"/>
    <mergeCell ref="Q3:V3"/>
    <mergeCell ref="A1:B1"/>
    <mergeCell ref="C1:N1"/>
    <mergeCell ref="A3:B3"/>
    <mergeCell ref="C3:F3"/>
    <mergeCell ref="G3:H3"/>
    <mergeCell ref="I3:N3"/>
    <mergeCell ref="O3:P3"/>
  </mergeCells>
  <conditionalFormatting sqref="R7:R13">
    <cfRule type="cellIs" dxfId="494" priority="24" operator="greaterThan">
      <formula>0</formula>
    </cfRule>
    <cfRule type="cellIs" dxfId="493" priority="25" operator="lessThan">
      <formula>0</formula>
    </cfRule>
  </conditionalFormatting>
  <conditionalFormatting sqref="S7:S13">
    <cfRule type="containsText" dxfId="492" priority="22" operator="containsText" text="Alerta">
      <formula>NOT(ISERROR(SEARCH("Alerta",S7)))</formula>
    </cfRule>
    <cfRule type="containsText" dxfId="491" priority="23" operator="containsText" text="En tiempo">
      <formula>NOT(ISERROR(SEARCH("En tiempo",S7)))</formula>
    </cfRule>
  </conditionalFormatting>
  <conditionalFormatting sqref="U7:U14">
    <cfRule type="cellIs" dxfId="490" priority="1" stopIfTrue="1" operator="between">
      <formula>0.8</formula>
      <formula>1</formula>
    </cfRule>
    <cfRule type="cellIs" dxfId="489" priority="2" stopIfTrue="1" operator="between">
      <formula>0.5</formula>
      <formula>0.79</formula>
    </cfRule>
    <cfRule type="cellIs" dxfId="488" priority="3" stopIfTrue="1" operator="between">
      <formula>0.3</formula>
      <formula>0.49</formula>
    </cfRule>
    <cfRule type="cellIs" dxfId="487" priority="4" stopIfTrue="1" operator="between">
      <formula>0</formula>
      <formula>0.29</formula>
    </cfRule>
  </conditionalFormatting>
  <conditionalFormatting sqref="V7:V13">
    <cfRule type="cellIs" dxfId="486" priority="16" operator="between">
      <formula>0.19</formula>
      <formula>0</formula>
    </cfRule>
    <cfRule type="cellIs" dxfId="485" priority="17" operator="between">
      <formula>0.49</formula>
      <formula>0.2</formula>
    </cfRule>
    <cfRule type="cellIs" dxfId="484" priority="18" operator="between">
      <formula>0.89</formula>
      <formula>0.5</formula>
    </cfRule>
    <cfRule type="cellIs" dxfId="483" priority="19" operator="between">
      <formula>1</formula>
      <formula>0.9</formula>
    </cfRule>
  </conditionalFormatting>
  <conditionalFormatting sqref="W7:W13">
    <cfRule type="containsText" dxfId="482" priority="20" operator="containsText" text="Incumple">
      <formula>NOT(ISERROR(SEARCH("Incumple",W7)))</formula>
    </cfRule>
    <cfRule type="containsText" dxfId="481" priority="21" operator="containsText" text="Cumple">
      <formula>NOT(ISERROR(SEARCH("Cumple",W7)))</formula>
    </cfRule>
  </conditionalFormatting>
  <conditionalFormatting sqref="W14">
    <cfRule type="cellIs" dxfId="480" priority="8" operator="between">
      <formula>0.19</formula>
      <formula>0</formula>
    </cfRule>
    <cfRule type="cellIs" dxfId="479" priority="9" operator="between">
      <formula>0.49</formula>
      <formula>0.2</formula>
    </cfRule>
    <cfRule type="cellIs" dxfId="478" priority="10" operator="between">
      <formula>0.89</formula>
      <formula>0.5</formula>
    </cfRule>
    <cfRule type="cellIs" dxfId="477" priority="11" operator="between">
      <formula>1</formula>
      <formula>0.9</formula>
    </cfRule>
  </conditionalFormatting>
  <conditionalFormatting sqref="AC14">
    <cfRule type="cellIs" dxfId="476" priority="5" operator="between">
      <formula>0.3</formula>
      <formula>0</formula>
    </cfRule>
    <cfRule type="cellIs" dxfId="475" priority="6" operator="between">
      <formula>0.6999</formula>
      <formula>0.3111</formula>
    </cfRule>
    <cfRule type="cellIs" dxfId="474" priority="7" operator="between">
      <formula>1</formula>
      <formula>0.7</formula>
    </cfRule>
  </conditionalFormatting>
  <dataValidations count="2">
    <dataValidation type="list" allowBlank="1" showInputMessage="1" showErrorMessage="1" sqref="B7:B13" xr:uid="{8B23919B-2ED0-4A2C-A790-E0F0359AAF2A}">
      <formula1>INDIRECT($B7)</formula1>
    </dataValidation>
    <dataValidation allowBlank="1" showInputMessage="1" showErrorMessage="1" sqref="A7:A13" xr:uid="{97BDAC4C-B594-4311-890A-CF68D5A7E0ED}"/>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D447F-BDF0-43C1-AA24-B26C3FAB2402}">
  <sheetPr>
    <tabColor theme="0"/>
  </sheetPr>
  <dimension ref="A1:AD65"/>
  <sheetViews>
    <sheetView zoomScale="55" zoomScaleNormal="55" workbookViewId="0">
      <selection activeCell="Y8" sqref="Y8"/>
    </sheetView>
  </sheetViews>
  <sheetFormatPr defaultColWidth="18.85546875" defaultRowHeight="14.25"/>
  <cols>
    <col min="1" max="2" width="18.85546875" style="64"/>
    <col min="3" max="3" width="44.42578125" style="64" customWidth="1"/>
    <col min="4" max="4" width="41.5703125" style="64" customWidth="1"/>
    <col min="5" max="5" width="31.5703125" style="64" customWidth="1"/>
    <col min="6" max="6" width="33" style="64" customWidth="1"/>
    <col min="7" max="7" width="22.140625" style="64" customWidth="1"/>
    <col min="8" max="8" width="20.5703125" style="64" customWidth="1"/>
    <col min="9" max="9" width="16.28515625" style="64" customWidth="1"/>
    <col min="10" max="10" width="18.7109375" style="64" customWidth="1"/>
    <col min="11" max="11" width="19.140625" style="64" customWidth="1"/>
    <col min="12" max="12" width="16.5703125" style="64" customWidth="1"/>
    <col min="13" max="13" width="11.7109375" style="64" customWidth="1"/>
    <col min="14" max="14" width="14.140625" style="64" customWidth="1"/>
    <col min="15" max="15" width="13.85546875" style="64" customWidth="1"/>
    <col min="16" max="16" width="13.42578125" style="64" customWidth="1"/>
    <col min="17" max="17" width="14.5703125" style="64" customWidth="1"/>
    <col min="18" max="19" width="18.85546875" style="64" customWidth="1"/>
    <col min="20" max="20" width="13.28515625" style="64" customWidth="1"/>
    <col min="21" max="21" width="15.42578125" style="64" customWidth="1"/>
    <col min="22" max="22" width="0" style="64" hidden="1" customWidth="1"/>
    <col min="23" max="23" width="15.5703125" style="64" hidden="1" customWidth="1"/>
    <col min="24" max="24" width="35.85546875" style="64" customWidth="1"/>
    <col min="25" max="25" width="61.7109375" style="64" customWidth="1"/>
    <col min="26" max="29" width="9.140625" style="64"/>
    <col min="30" max="30" width="26.85546875" style="64" customWidth="1"/>
    <col min="31" max="16384" width="18.85546875" style="64"/>
  </cols>
  <sheetData>
    <row r="1" spans="1:30" ht="97.5"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8" t="s">
        <v>1</v>
      </c>
      <c r="AA1" s="669"/>
      <c r="AB1" s="669"/>
      <c r="AC1" s="669"/>
      <c r="AD1" s="670"/>
    </row>
    <row r="2" spans="1:30" ht="22.5"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71"/>
      <c r="AA2" s="672"/>
      <c r="AB2" s="672"/>
      <c r="AC2" s="672"/>
      <c r="AD2" s="673"/>
    </row>
    <row r="3" spans="1:30" ht="36.75" customHeight="1">
      <c r="A3" s="677" t="s">
        <v>6</v>
      </c>
      <c r="B3" s="677"/>
      <c r="C3" s="663" t="s">
        <v>218</v>
      </c>
      <c r="D3" s="663"/>
      <c r="E3" s="663"/>
      <c r="F3" s="663"/>
      <c r="G3" s="677" t="s">
        <v>8</v>
      </c>
      <c r="H3" s="677"/>
      <c r="I3" s="665">
        <v>43784</v>
      </c>
      <c r="J3" s="663"/>
      <c r="K3" s="663"/>
      <c r="L3" s="663"/>
      <c r="M3" s="663"/>
      <c r="N3" s="663"/>
      <c r="O3" s="677" t="s">
        <v>9</v>
      </c>
      <c r="P3" s="677"/>
      <c r="Q3" s="665" t="s">
        <v>157</v>
      </c>
      <c r="R3" s="665"/>
      <c r="S3" s="665"/>
      <c r="T3" s="665"/>
      <c r="U3" s="665"/>
      <c r="V3" s="665"/>
      <c r="W3" s="677" t="s">
        <v>10</v>
      </c>
      <c r="X3" s="677"/>
      <c r="Y3" s="378" t="s">
        <v>158</v>
      </c>
      <c r="Z3" s="671"/>
      <c r="AA3" s="672"/>
      <c r="AB3" s="672"/>
      <c r="AC3" s="672"/>
      <c r="AD3" s="673"/>
    </row>
    <row r="4" spans="1:30" ht="33" customHeight="1" thickBot="1">
      <c r="A4" s="677" t="s">
        <v>12</v>
      </c>
      <c r="B4" s="677"/>
      <c r="C4" s="663" t="s">
        <v>258</v>
      </c>
      <c r="D4" s="663"/>
      <c r="E4" s="663"/>
      <c r="F4" s="663"/>
      <c r="G4" s="677" t="s">
        <v>14</v>
      </c>
      <c r="H4" s="677"/>
      <c r="I4" s="665">
        <v>44560</v>
      </c>
      <c r="J4" s="665"/>
      <c r="K4" s="665"/>
      <c r="L4" s="665"/>
      <c r="M4" s="665"/>
      <c r="N4" s="665"/>
      <c r="O4" s="677" t="s">
        <v>15</v>
      </c>
      <c r="P4" s="677"/>
      <c r="Q4" s="663" t="s">
        <v>16</v>
      </c>
      <c r="R4" s="663"/>
      <c r="S4" s="663"/>
      <c r="T4" s="664" t="s">
        <v>17</v>
      </c>
      <c r="U4" s="664"/>
      <c r="V4" s="663"/>
      <c r="W4" s="663"/>
      <c r="X4" s="663"/>
      <c r="Y4" s="663"/>
      <c r="Z4" s="674"/>
      <c r="AA4" s="675"/>
      <c r="AB4" s="675"/>
      <c r="AC4" s="675"/>
      <c r="AD4" s="676"/>
    </row>
    <row r="5" spans="1:30" ht="15.75" thickBot="1">
      <c r="A5" s="454" t="s">
        <v>18</v>
      </c>
      <c r="B5" s="454"/>
      <c r="C5" s="454"/>
      <c r="D5" s="454"/>
      <c r="E5" s="454"/>
      <c r="F5" s="454"/>
      <c r="G5" s="454"/>
      <c r="H5" s="454"/>
      <c r="I5" s="454"/>
      <c r="J5" s="454"/>
      <c r="K5" s="454"/>
      <c r="L5" s="454"/>
      <c r="M5" s="454"/>
      <c r="N5" s="454"/>
      <c r="O5" s="455" t="s">
        <v>19</v>
      </c>
      <c r="P5" s="455"/>
      <c r="Q5" s="455"/>
      <c r="R5" s="455"/>
      <c r="S5" s="455"/>
      <c r="T5" s="455"/>
      <c r="U5" s="455"/>
      <c r="V5" s="455"/>
      <c r="W5" s="455"/>
      <c r="X5" s="455"/>
      <c r="Y5" s="455"/>
      <c r="Z5" s="456" t="s">
        <v>20</v>
      </c>
      <c r="AA5" s="456"/>
      <c r="AB5" s="456"/>
      <c r="AC5" s="456"/>
      <c r="AD5" s="456"/>
    </row>
    <row r="6" spans="1:30" ht="105.75" thickBot="1">
      <c r="A6" s="457" t="s">
        <v>21</v>
      </c>
      <c r="B6" s="457" t="s">
        <v>22</v>
      </c>
      <c r="C6" s="457" t="s">
        <v>23</v>
      </c>
      <c r="D6" s="457" t="s">
        <v>24</v>
      </c>
      <c r="E6" s="457" t="s">
        <v>25</v>
      </c>
      <c r="F6" s="457" t="s">
        <v>26</v>
      </c>
      <c r="G6" s="457" t="s">
        <v>27</v>
      </c>
      <c r="H6" s="457" t="s">
        <v>28</v>
      </c>
      <c r="I6" s="457" t="s">
        <v>29</v>
      </c>
      <c r="J6" s="457" t="s">
        <v>30</v>
      </c>
      <c r="K6" s="457" t="s">
        <v>31</v>
      </c>
      <c r="L6" s="457" t="s">
        <v>32</v>
      </c>
      <c r="M6" s="457" t="s">
        <v>33</v>
      </c>
      <c r="N6" s="457" t="s">
        <v>34</v>
      </c>
      <c r="O6" s="458" t="s">
        <v>35</v>
      </c>
      <c r="P6" s="458" t="s">
        <v>36</v>
      </c>
      <c r="Q6" s="458" t="s">
        <v>37</v>
      </c>
      <c r="R6" s="458" t="s">
        <v>38</v>
      </c>
      <c r="S6" s="458" t="s">
        <v>39</v>
      </c>
      <c r="T6" s="458" t="s">
        <v>40</v>
      </c>
      <c r="U6" s="458" t="s">
        <v>41</v>
      </c>
      <c r="V6" s="458" t="s">
        <v>42</v>
      </c>
      <c r="W6" s="458" t="s">
        <v>43</v>
      </c>
      <c r="X6" s="458" t="s">
        <v>44</v>
      </c>
      <c r="Y6" s="458" t="s">
        <v>45</v>
      </c>
      <c r="Z6" s="459" t="s">
        <v>46</v>
      </c>
      <c r="AA6" s="459" t="s">
        <v>47</v>
      </c>
      <c r="AB6" s="459" t="s">
        <v>48</v>
      </c>
      <c r="AC6" s="459" t="s">
        <v>49</v>
      </c>
      <c r="AD6" s="459" t="s">
        <v>50</v>
      </c>
    </row>
    <row r="7" spans="1:30" ht="210.75" customHeight="1">
      <c r="A7" s="272" t="s">
        <v>51</v>
      </c>
      <c r="B7" s="272" t="s">
        <v>52</v>
      </c>
      <c r="C7" s="272" t="s">
        <v>259</v>
      </c>
      <c r="D7" s="272" t="s">
        <v>260</v>
      </c>
      <c r="E7" s="272" t="s">
        <v>261</v>
      </c>
      <c r="F7" s="272" t="s">
        <v>262</v>
      </c>
      <c r="G7" s="272" t="s">
        <v>263</v>
      </c>
      <c r="H7" s="272">
        <v>1</v>
      </c>
      <c r="I7" s="272" t="s">
        <v>166</v>
      </c>
      <c r="J7" s="272" t="s">
        <v>0</v>
      </c>
      <c r="K7" s="272" t="s">
        <v>60</v>
      </c>
      <c r="L7" s="272" t="s">
        <v>263</v>
      </c>
      <c r="M7" s="512">
        <v>43784</v>
      </c>
      <c r="N7" s="512">
        <v>44560</v>
      </c>
      <c r="O7" s="513">
        <f>(+N7-M7)/7</f>
        <v>110.85714285714286</v>
      </c>
      <c r="P7" s="259">
        <v>44908</v>
      </c>
      <c r="Q7" s="258"/>
      <c r="R7" s="514">
        <f>(P7-M7)/7-O7</f>
        <v>49.714285714285722</v>
      </c>
      <c r="S7" s="515" t="str">
        <f ca="1">IF((N7-TODAY())/7&gt;=0,"En tiempo","Alerta")</f>
        <v>Alerta</v>
      </c>
      <c r="T7" s="516">
        <v>0.4</v>
      </c>
      <c r="U7" s="161">
        <f>IF(T7/H7=1,1,+T7/H7)</f>
        <v>0.4</v>
      </c>
      <c r="V7" s="517">
        <f>IF(R7&gt;O7,0%,IF(R7&lt;=0,"100%",1-(R7/O7)))</f>
        <v>0.55154639175257725</v>
      </c>
      <c r="W7" s="518" t="str">
        <f>IF(P7&lt;=N7,"Cumple","Incumple")</f>
        <v>Incumple</v>
      </c>
      <c r="X7" s="258"/>
      <c r="Y7" s="573" t="s">
        <v>264</v>
      </c>
      <c r="Z7" s="509">
        <f>(U7+V7)/2</f>
        <v>0.47577319587628863</v>
      </c>
      <c r="AA7" s="509"/>
      <c r="AB7" s="509"/>
      <c r="AC7" s="509">
        <f>AVERAGE(Z7:AB7)</f>
        <v>0.47577319587628863</v>
      </c>
      <c r="AD7" s="258"/>
    </row>
    <row r="8" spans="1:30" ht="219.75" customHeight="1">
      <c r="A8" s="272" t="s">
        <v>51</v>
      </c>
      <c r="B8" s="272" t="s">
        <v>52</v>
      </c>
      <c r="C8" s="272" t="s">
        <v>265</v>
      </c>
      <c r="D8" s="272" t="s">
        <v>260</v>
      </c>
      <c r="E8" s="272" t="s">
        <v>266</v>
      </c>
      <c r="F8" s="272" t="s">
        <v>267</v>
      </c>
      <c r="G8" s="272" t="s">
        <v>268</v>
      </c>
      <c r="H8" s="272">
        <v>1</v>
      </c>
      <c r="I8" s="272" t="s">
        <v>166</v>
      </c>
      <c r="J8" s="272" t="s">
        <v>59</v>
      </c>
      <c r="K8" s="272" t="s">
        <v>60</v>
      </c>
      <c r="L8" s="272" t="s">
        <v>268</v>
      </c>
      <c r="M8" s="512">
        <v>43784</v>
      </c>
      <c r="N8" s="512">
        <v>44560</v>
      </c>
      <c r="O8" s="513">
        <f t="shared" ref="O8:O13" si="0">(+N8-M8)/7</f>
        <v>110.85714285714286</v>
      </c>
      <c r="P8" s="259">
        <v>45106</v>
      </c>
      <c r="Q8" s="258"/>
      <c r="R8" s="514">
        <f t="shared" ref="R8:R13" si="1">(P8-M8)/7-O8</f>
        <v>78</v>
      </c>
      <c r="S8" s="515" t="str">
        <f t="shared" ref="S8:S13" ca="1" si="2">IF((N8-TODAY())/7&gt;=0,"En tiempo","Alerta")</f>
        <v>Alerta</v>
      </c>
      <c r="T8" s="516">
        <v>0.8</v>
      </c>
      <c r="U8" s="161">
        <f t="shared" ref="U8:U13" si="3">IF(T8/H8=1,1,+T8/H8)</f>
        <v>0.8</v>
      </c>
      <c r="V8" s="517">
        <f t="shared" ref="V8:V13" si="4">IF(R8&gt;O8,0%,IF(R8&lt;=0,"100%",1-(R8/O8)))</f>
        <v>0.29639175257731964</v>
      </c>
      <c r="W8" s="518" t="str">
        <f t="shared" ref="W8:W13" si="5">IF(P8&lt;=N8,"Cumple","Incumple")</f>
        <v>Incumple</v>
      </c>
      <c r="X8" s="258" t="s">
        <v>269</v>
      </c>
      <c r="Y8" s="573" t="s">
        <v>270</v>
      </c>
      <c r="Z8" s="509">
        <f t="shared" ref="Z8:Z13" si="6">(U8+V8)/2</f>
        <v>0.54819587628865984</v>
      </c>
      <c r="AA8" s="509"/>
      <c r="AB8" s="509"/>
      <c r="AC8" s="509">
        <f t="shared" ref="AC8:AC13" si="7">AVERAGE(Z8:AB8)</f>
        <v>0.54819587628865984</v>
      </c>
      <c r="AD8" s="258"/>
    </row>
    <row r="9" spans="1:30" ht="144">
      <c r="A9" s="272" t="s">
        <v>51</v>
      </c>
      <c r="B9" s="272" t="s">
        <v>52</v>
      </c>
      <c r="C9" s="272" t="s">
        <v>271</v>
      </c>
      <c r="D9" s="272" t="s">
        <v>272</v>
      </c>
      <c r="E9" s="272" t="s">
        <v>273</v>
      </c>
      <c r="F9" s="272" t="s">
        <v>274</v>
      </c>
      <c r="G9" s="272" t="s">
        <v>275</v>
      </c>
      <c r="H9" s="272">
        <v>1</v>
      </c>
      <c r="I9" s="272" t="s">
        <v>166</v>
      </c>
      <c r="J9" s="272" t="s">
        <v>59</v>
      </c>
      <c r="K9" s="272" t="s">
        <v>60</v>
      </c>
      <c r="L9" s="272" t="s">
        <v>275</v>
      </c>
      <c r="M9" s="512">
        <v>43784</v>
      </c>
      <c r="N9" s="512">
        <v>44560</v>
      </c>
      <c r="O9" s="513">
        <f t="shared" si="0"/>
        <v>110.85714285714286</v>
      </c>
      <c r="P9" s="259">
        <v>45106</v>
      </c>
      <c r="Q9" s="258"/>
      <c r="R9" s="514">
        <f t="shared" si="1"/>
        <v>78</v>
      </c>
      <c r="S9" s="515" t="str">
        <f t="shared" ca="1" si="2"/>
        <v>Alerta</v>
      </c>
      <c r="T9" s="516">
        <v>0.85</v>
      </c>
      <c r="U9" s="161">
        <f t="shared" si="3"/>
        <v>0.85</v>
      </c>
      <c r="V9" s="517">
        <f t="shared" si="4"/>
        <v>0.29639175257731964</v>
      </c>
      <c r="W9" s="518" t="str">
        <f t="shared" si="5"/>
        <v>Incumple</v>
      </c>
      <c r="X9" s="258" t="s">
        <v>276</v>
      </c>
      <c r="Y9" s="573" t="s">
        <v>277</v>
      </c>
      <c r="Z9" s="509">
        <f t="shared" si="6"/>
        <v>0.57319587628865976</v>
      </c>
      <c r="AA9" s="509"/>
      <c r="AB9" s="509"/>
      <c r="AC9" s="509">
        <f t="shared" si="7"/>
        <v>0.57319587628865976</v>
      </c>
      <c r="AD9" s="258"/>
    </row>
    <row r="10" spans="1:30" ht="101.25">
      <c r="A10" s="272" t="s">
        <v>51</v>
      </c>
      <c r="B10" s="272" t="s">
        <v>52</v>
      </c>
      <c r="C10" s="272" t="s">
        <v>278</v>
      </c>
      <c r="D10" s="272" t="s">
        <v>279</v>
      </c>
      <c r="E10" s="272" t="s">
        <v>280</v>
      </c>
      <c r="F10" s="272" t="s">
        <v>281</v>
      </c>
      <c r="G10" s="272" t="s">
        <v>282</v>
      </c>
      <c r="H10" s="272">
        <v>1</v>
      </c>
      <c r="I10" s="272" t="s">
        <v>166</v>
      </c>
      <c r="J10" s="272" t="s">
        <v>59</v>
      </c>
      <c r="K10" s="272" t="s">
        <v>60</v>
      </c>
      <c r="L10" s="272" t="s">
        <v>282</v>
      </c>
      <c r="M10" s="512">
        <v>43784</v>
      </c>
      <c r="N10" s="512">
        <v>44377</v>
      </c>
      <c r="O10" s="513">
        <f t="shared" si="0"/>
        <v>84.714285714285708</v>
      </c>
      <c r="P10" s="259">
        <v>45106</v>
      </c>
      <c r="Q10" s="259">
        <v>45106</v>
      </c>
      <c r="R10" s="514">
        <f t="shared" si="1"/>
        <v>104.14285714285715</v>
      </c>
      <c r="S10" s="515" t="str">
        <f t="shared" ca="1" si="2"/>
        <v>Alerta</v>
      </c>
      <c r="T10" s="516">
        <v>1</v>
      </c>
      <c r="U10" s="161">
        <f t="shared" si="3"/>
        <v>1</v>
      </c>
      <c r="V10" s="517">
        <f t="shared" si="4"/>
        <v>0</v>
      </c>
      <c r="W10" s="518" t="str">
        <f t="shared" si="5"/>
        <v>Incumple</v>
      </c>
      <c r="X10" s="258" t="s">
        <v>283</v>
      </c>
      <c r="Y10" s="269" t="s">
        <v>284</v>
      </c>
      <c r="Z10" s="509">
        <f t="shared" si="6"/>
        <v>0.5</v>
      </c>
      <c r="AA10" s="509"/>
      <c r="AB10" s="509"/>
      <c r="AC10" s="509">
        <f t="shared" si="7"/>
        <v>0.5</v>
      </c>
      <c r="AD10" s="258"/>
    </row>
    <row r="11" spans="1:30" ht="87.75" customHeight="1">
      <c r="A11" s="272" t="s">
        <v>51</v>
      </c>
      <c r="B11" s="272" t="s">
        <v>52</v>
      </c>
      <c r="C11" s="272" t="s">
        <v>285</v>
      </c>
      <c r="D11" s="272" t="s">
        <v>286</v>
      </c>
      <c r="E11" s="272" t="s">
        <v>287</v>
      </c>
      <c r="F11" s="272" t="s">
        <v>288</v>
      </c>
      <c r="G11" s="272" t="s">
        <v>289</v>
      </c>
      <c r="H11" s="272">
        <v>1</v>
      </c>
      <c r="I11" s="272" t="s">
        <v>166</v>
      </c>
      <c r="J11" s="272" t="s">
        <v>59</v>
      </c>
      <c r="K11" s="272" t="s">
        <v>60</v>
      </c>
      <c r="L11" s="272" t="s">
        <v>289</v>
      </c>
      <c r="M11" s="512">
        <v>43784</v>
      </c>
      <c r="N11" s="512">
        <v>44149</v>
      </c>
      <c r="O11" s="513">
        <f t="shared" si="0"/>
        <v>52.142857142857146</v>
      </c>
      <c r="P11" s="512">
        <v>44174</v>
      </c>
      <c r="Q11" s="512">
        <v>44174</v>
      </c>
      <c r="R11" s="514">
        <f t="shared" si="1"/>
        <v>3.5714285714285694</v>
      </c>
      <c r="S11" s="515" t="str">
        <f t="shared" ca="1" si="2"/>
        <v>Alerta</v>
      </c>
      <c r="T11" s="516">
        <v>1</v>
      </c>
      <c r="U11" s="161">
        <f t="shared" si="3"/>
        <v>1</v>
      </c>
      <c r="V11" s="517">
        <f t="shared" si="4"/>
        <v>0.93150684931506855</v>
      </c>
      <c r="W11" s="518" t="str">
        <f t="shared" si="5"/>
        <v>Incumple</v>
      </c>
      <c r="X11" s="258"/>
      <c r="Y11" s="269" t="s">
        <v>290</v>
      </c>
      <c r="Z11" s="509">
        <f t="shared" si="6"/>
        <v>0.96575342465753433</v>
      </c>
      <c r="AA11" s="509"/>
      <c r="AB11" s="509"/>
      <c r="AC11" s="509">
        <f t="shared" si="7"/>
        <v>0.96575342465753433</v>
      </c>
      <c r="AD11" s="258"/>
    </row>
    <row r="12" spans="1:30" ht="117" customHeight="1">
      <c r="A12" s="272" t="s">
        <v>51</v>
      </c>
      <c r="B12" s="272" t="s">
        <v>52</v>
      </c>
      <c r="C12" s="272" t="s">
        <v>291</v>
      </c>
      <c r="D12" s="272" t="s">
        <v>292</v>
      </c>
      <c r="E12" s="272" t="s">
        <v>293</v>
      </c>
      <c r="F12" s="272" t="s">
        <v>294</v>
      </c>
      <c r="G12" s="272" t="s">
        <v>295</v>
      </c>
      <c r="H12" s="272">
        <v>1</v>
      </c>
      <c r="I12" s="272" t="s">
        <v>166</v>
      </c>
      <c r="J12" s="272" t="s">
        <v>59</v>
      </c>
      <c r="K12" s="272" t="s">
        <v>60</v>
      </c>
      <c r="L12" s="272" t="s">
        <v>295</v>
      </c>
      <c r="M12" s="512">
        <v>43784</v>
      </c>
      <c r="N12" s="512">
        <v>44560</v>
      </c>
      <c r="O12" s="513">
        <f t="shared" si="0"/>
        <v>110.85714285714286</v>
      </c>
      <c r="P12" s="512">
        <v>44377</v>
      </c>
      <c r="Q12" s="512">
        <v>44377</v>
      </c>
      <c r="R12" s="514">
        <f t="shared" si="1"/>
        <v>-26.142857142857153</v>
      </c>
      <c r="S12" s="515" t="str">
        <f t="shared" ca="1" si="2"/>
        <v>Alerta</v>
      </c>
      <c r="T12" s="516">
        <v>1</v>
      </c>
      <c r="U12" s="161">
        <f t="shared" si="3"/>
        <v>1</v>
      </c>
      <c r="V12" s="517" t="str">
        <f t="shared" si="4"/>
        <v>100%</v>
      </c>
      <c r="W12" s="518" t="str">
        <f t="shared" si="5"/>
        <v>Cumple</v>
      </c>
      <c r="X12" s="568" t="s">
        <v>296</v>
      </c>
      <c r="Y12" s="269" t="s">
        <v>297</v>
      </c>
      <c r="Z12" s="509">
        <f t="shared" si="6"/>
        <v>1</v>
      </c>
      <c r="AA12" s="509"/>
      <c r="AB12" s="509"/>
      <c r="AC12" s="509">
        <f t="shared" si="7"/>
        <v>1</v>
      </c>
      <c r="AD12" s="258"/>
    </row>
    <row r="13" spans="1:30" ht="81" customHeight="1">
      <c r="A13" s="272" t="s">
        <v>51</v>
      </c>
      <c r="B13" s="272" t="s">
        <v>52</v>
      </c>
      <c r="C13" s="272" t="s">
        <v>298</v>
      </c>
      <c r="D13" s="272" t="s">
        <v>299</v>
      </c>
      <c r="E13" s="272" t="s">
        <v>300</v>
      </c>
      <c r="F13" s="272" t="s">
        <v>301</v>
      </c>
      <c r="G13" s="272" t="s">
        <v>302</v>
      </c>
      <c r="H13" s="272">
        <v>1</v>
      </c>
      <c r="I13" s="272" t="s">
        <v>166</v>
      </c>
      <c r="J13" s="272" t="s">
        <v>59</v>
      </c>
      <c r="K13" s="272" t="s">
        <v>60</v>
      </c>
      <c r="L13" s="272" t="s">
        <v>302</v>
      </c>
      <c r="M13" s="512">
        <v>43784</v>
      </c>
      <c r="N13" s="512">
        <v>44560</v>
      </c>
      <c r="O13" s="513">
        <f t="shared" si="0"/>
        <v>110.85714285714286</v>
      </c>
      <c r="P13" s="512">
        <v>44377</v>
      </c>
      <c r="Q13" s="512">
        <v>44377</v>
      </c>
      <c r="R13" s="514">
        <f t="shared" si="1"/>
        <v>-26.142857142857153</v>
      </c>
      <c r="S13" s="515" t="str">
        <f t="shared" ca="1" si="2"/>
        <v>Alerta</v>
      </c>
      <c r="T13" s="516">
        <v>1</v>
      </c>
      <c r="U13" s="161">
        <f t="shared" si="3"/>
        <v>1</v>
      </c>
      <c r="V13" s="517" t="str">
        <f t="shared" si="4"/>
        <v>100%</v>
      </c>
      <c r="W13" s="518" t="str">
        <f t="shared" si="5"/>
        <v>Cumple</v>
      </c>
      <c r="X13" s="258"/>
      <c r="Y13" s="269" t="s">
        <v>303</v>
      </c>
      <c r="Z13" s="509">
        <f t="shared" si="6"/>
        <v>1</v>
      </c>
      <c r="AA13" s="509"/>
      <c r="AB13" s="509"/>
      <c r="AC13" s="509">
        <f t="shared" si="7"/>
        <v>1</v>
      </c>
      <c r="AD13" s="258"/>
    </row>
    <row r="14" spans="1:30" ht="15.75" customHeight="1" thickBot="1">
      <c r="A14" s="53"/>
      <c r="B14" s="53"/>
      <c r="C14" s="53"/>
      <c r="D14" s="53"/>
      <c r="E14" s="53"/>
      <c r="F14" s="53"/>
      <c r="G14" s="327" t="s">
        <v>153</v>
      </c>
      <c r="H14" s="462">
        <f>SUM(H7:H13)</f>
        <v>7</v>
      </c>
      <c r="I14" s="53"/>
      <c r="J14" s="53"/>
      <c r="K14" s="53"/>
      <c r="L14" s="53"/>
      <c r="M14" s="53"/>
      <c r="N14" s="53"/>
      <c r="O14" s="53"/>
      <c r="P14" s="53"/>
      <c r="Q14" s="700" t="s">
        <v>154</v>
      </c>
      <c r="R14" s="700"/>
      <c r="S14" s="701"/>
      <c r="T14" s="465">
        <f>SUM(T7:T13)</f>
        <v>6.0500000000000007</v>
      </c>
      <c r="U14" s="161">
        <f>AVERAGE(U7:U13)</f>
        <v>0.86428571428571443</v>
      </c>
      <c r="V14" s="470" t="s">
        <v>43</v>
      </c>
      <c r="W14" s="471">
        <f>(COUNTIF(W7:W13,"Cumple"))/COUNTA(W7:W13)</f>
        <v>0.2857142857142857</v>
      </c>
      <c r="X14" s="53"/>
      <c r="Y14" s="53"/>
      <c r="Z14" s="678" t="s">
        <v>154</v>
      </c>
      <c r="AA14" s="678"/>
      <c r="AB14" s="678"/>
      <c r="AC14" s="471">
        <f>AVERAGE(AC7:AC13)</f>
        <v>0.72327405330159178</v>
      </c>
      <c r="AD14" s="53"/>
    </row>
    <row r="15" spans="1:30">
      <c r="A15" s="53"/>
      <c r="B15" s="53"/>
      <c r="C15" s="53"/>
      <c r="D15" s="53"/>
      <c r="E15" s="53"/>
      <c r="F15" s="53"/>
      <c r="I15" s="53"/>
      <c r="J15" s="53"/>
      <c r="K15" s="53"/>
      <c r="L15" s="53"/>
      <c r="M15" s="53"/>
      <c r="N15" s="53"/>
      <c r="O15" s="53"/>
      <c r="P15" s="53"/>
      <c r="X15" s="53"/>
      <c r="Y15" s="53"/>
      <c r="AD15" s="53"/>
    </row>
    <row r="16" spans="1:30">
      <c r="A16" s="53"/>
      <c r="B16" s="53"/>
      <c r="C16" s="53"/>
      <c r="D16" s="53"/>
      <c r="E16" s="53"/>
      <c r="F16" s="53"/>
      <c r="I16" s="53"/>
      <c r="J16" s="53"/>
      <c r="K16" s="53"/>
      <c r="L16" s="53"/>
      <c r="M16" s="53"/>
      <c r="N16" s="53"/>
      <c r="O16" s="53"/>
      <c r="P16" s="53"/>
      <c r="X16" s="53"/>
      <c r="Y16" s="53"/>
      <c r="AD16" s="53"/>
    </row>
    <row r="17" spans="1:30">
      <c r="A17" s="53"/>
      <c r="B17" s="53"/>
      <c r="C17" s="53"/>
      <c r="D17" s="53"/>
      <c r="E17" s="53"/>
      <c r="F17" s="53"/>
      <c r="I17" s="53"/>
      <c r="J17" s="53"/>
      <c r="K17" s="53"/>
      <c r="L17" s="53"/>
      <c r="M17" s="53"/>
      <c r="N17" s="53"/>
      <c r="O17" s="53"/>
      <c r="P17" s="53"/>
      <c r="X17" s="53"/>
      <c r="Y17" s="53"/>
      <c r="AD17" s="53"/>
    </row>
    <row r="18" spans="1:30">
      <c r="A18" s="53"/>
      <c r="B18" s="53"/>
      <c r="C18" s="53"/>
      <c r="D18" s="53"/>
      <c r="E18" s="53"/>
      <c r="F18" s="53"/>
      <c r="I18" s="53"/>
      <c r="J18" s="53"/>
      <c r="K18" s="53"/>
      <c r="L18" s="53"/>
      <c r="M18" s="53"/>
      <c r="N18" s="53"/>
      <c r="O18" s="53"/>
      <c r="P18" s="53"/>
      <c r="X18" s="53"/>
      <c r="Y18" s="53"/>
      <c r="AD18" s="53"/>
    </row>
    <row r="19" spans="1:30">
      <c r="A19" s="53"/>
      <c r="B19" s="53"/>
      <c r="C19" s="53"/>
      <c r="D19" s="53"/>
      <c r="E19" s="53"/>
      <c r="F19" s="53"/>
      <c r="I19" s="53"/>
      <c r="J19" s="53"/>
      <c r="K19" s="53"/>
      <c r="L19" s="53"/>
      <c r="M19" s="53"/>
      <c r="N19" s="53"/>
      <c r="O19" s="53"/>
      <c r="P19" s="53"/>
      <c r="X19" s="53"/>
      <c r="Y19" s="53"/>
      <c r="AD19" s="53"/>
    </row>
    <row r="20" spans="1:30">
      <c r="A20" s="53"/>
      <c r="B20" s="53"/>
      <c r="C20" s="53"/>
      <c r="D20" s="53"/>
      <c r="E20" s="53"/>
      <c r="F20" s="53"/>
      <c r="I20" s="53"/>
      <c r="J20" s="53"/>
      <c r="K20" s="53"/>
      <c r="L20" s="53"/>
      <c r="M20" s="53"/>
      <c r="N20" s="53"/>
      <c r="O20" s="53"/>
      <c r="P20" s="53"/>
      <c r="X20" s="53"/>
      <c r="Y20" s="53"/>
      <c r="AD20" s="53"/>
    </row>
    <row r="21" spans="1:30">
      <c r="A21" s="53"/>
      <c r="B21" s="53"/>
      <c r="C21" s="53"/>
      <c r="D21" s="53"/>
      <c r="E21" s="53"/>
      <c r="F21" s="53"/>
      <c r="I21" s="53"/>
      <c r="J21" s="53"/>
      <c r="K21" s="53"/>
      <c r="L21" s="53"/>
      <c r="M21" s="53"/>
      <c r="N21" s="53"/>
      <c r="O21" s="53"/>
      <c r="P21" s="53"/>
      <c r="X21" s="53"/>
      <c r="Y21" s="53"/>
      <c r="AD21" s="53"/>
    </row>
    <row r="22" spans="1:30">
      <c r="A22" s="53"/>
      <c r="B22" s="53"/>
      <c r="C22" s="53"/>
      <c r="D22" s="53"/>
      <c r="E22" s="53"/>
      <c r="F22" s="53"/>
    </row>
    <row r="23" spans="1:30">
      <c r="A23" s="53"/>
      <c r="B23" s="53"/>
      <c r="C23" s="53"/>
      <c r="D23" s="53"/>
      <c r="E23" s="53"/>
      <c r="F23" s="53"/>
    </row>
    <row r="24" spans="1:30">
      <c r="A24" s="53"/>
      <c r="B24" s="53"/>
      <c r="C24" s="53"/>
      <c r="D24" s="53"/>
      <c r="E24" s="53"/>
      <c r="F24" s="53"/>
    </row>
    <row r="25" spans="1:30">
      <c r="A25" s="53"/>
      <c r="B25" s="53"/>
      <c r="C25" s="53"/>
      <c r="D25" s="53"/>
      <c r="E25" s="53"/>
      <c r="F25" s="53"/>
    </row>
    <row r="26" spans="1:30">
      <c r="A26" s="53"/>
      <c r="B26" s="53"/>
      <c r="C26" s="53"/>
      <c r="D26" s="53"/>
      <c r="E26" s="53"/>
      <c r="F26" s="53"/>
    </row>
    <row r="27" spans="1:30">
      <c r="A27" s="53"/>
      <c r="B27" s="53"/>
      <c r="C27" s="53"/>
      <c r="D27" s="53"/>
      <c r="E27" s="53"/>
      <c r="F27" s="53"/>
    </row>
    <row r="28" spans="1:30">
      <c r="A28" s="53"/>
      <c r="B28" s="53"/>
      <c r="C28" s="53"/>
      <c r="D28" s="53"/>
      <c r="E28" s="53"/>
      <c r="F28" s="53"/>
    </row>
    <row r="29" spans="1:30">
      <c r="A29" s="53"/>
      <c r="B29" s="53"/>
      <c r="C29" s="53"/>
      <c r="D29" s="53"/>
      <c r="E29" s="53"/>
      <c r="F29" s="53"/>
    </row>
    <row r="30" spans="1:30">
      <c r="A30" s="53"/>
      <c r="B30" s="53"/>
      <c r="C30" s="53"/>
      <c r="D30" s="53"/>
      <c r="E30" s="53"/>
      <c r="F30" s="53"/>
    </row>
    <row r="31" spans="1:30">
      <c r="A31" s="53"/>
      <c r="B31" s="53"/>
      <c r="C31" s="53"/>
      <c r="D31" s="53"/>
      <c r="E31" s="53"/>
      <c r="F31" s="53"/>
    </row>
    <row r="32" spans="1:30">
      <c r="A32" s="53"/>
      <c r="B32" s="53"/>
      <c r="C32" s="53"/>
      <c r="D32" s="53"/>
      <c r="E32" s="53"/>
      <c r="F32" s="53"/>
    </row>
    <row r="33" spans="1:6">
      <c r="A33" s="53"/>
      <c r="B33" s="53"/>
      <c r="C33" s="53"/>
      <c r="D33" s="53"/>
      <c r="E33" s="53"/>
      <c r="F33" s="53"/>
    </row>
    <row r="34" spans="1:6">
      <c r="A34" s="53"/>
      <c r="B34" s="53"/>
      <c r="C34" s="53"/>
      <c r="D34" s="53"/>
      <c r="E34" s="53"/>
      <c r="F34" s="53"/>
    </row>
    <row r="35" spans="1:6">
      <c r="A35" s="53"/>
      <c r="B35" s="53"/>
      <c r="C35" s="53"/>
      <c r="D35" s="53"/>
      <c r="E35" s="53"/>
      <c r="F35" s="53"/>
    </row>
    <row r="36" spans="1:6">
      <c r="A36" s="53"/>
      <c r="B36" s="53"/>
      <c r="C36" s="53"/>
      <c r="D36" s="53"/>
      <c r="E36" s="53"/>
      <c r="F36" s="53"/>
    </row>
    <row r="37" spans="1:6">
      <c r="A37" s="53"/>
      <c r="B37" s="53"/>
      <c r="C37" s="53"/>
      <c r="D37" s="53"/>
      <c r="E37" s="53"/>
      <c r="F37" s="53"/>
    </row>
    <row r="38" spans="1:6">
      <c r="A38" s="53"/>
      <c r="B38" s="53"/>
      <c r="C38" s="53"/>
      <c r="D38" s="53"/>
      <c r="E38" s="53"/>
      <c r="F38" s="53"/>
    </row>
    <row r="39" spans="1:6">
      <c r="A39" s="53"/>
      <c r="B39" s="53"/>
      <c r="C39" s="53"/>
      <c r="D39" s="53"/>
      <c r="E39" s="53"/>
      <c r="F39" s="53"/>
    </row>
    <row r="40" spans="1:6">
      <c r="A40" s="53"/>
      <c r="B40" s="53"/>
      <c r="C40" s="53"/>
      <c r="D40" s="53"/>
      <c r="E40" s="53"/>
      <c r="F40" s="53"/>
    </row>
    <row r="41" spans="1:6">
      <c r="A41" s="53"/>
      <c r="B41" s="53"/>
      <c r="C41" s="53"/>
      <c r="D41" s="53"/>
      <c r="E41" s="53"/>
      <c r="F41" s="53"/>
    </row>
    <row r="42" spans="1:6">
      <c r="A42" s="53"/>
      <c r="B42" s="53"/>
      <c r="C42" s="53"/>
      <c r="D42" s="53"/>
      <c r="E42" s="53"/>
      <c r="F42" s="53"/>
    </row>
    <row r="43" spans="1:6">
      <c r="A43" s="53"/>
      <c r="B43" s="53"/>
      <c r="C43" s="53"/>
      <c r="D43" s="53"/>
      <c r="E43" s="53"/>
      <c r="F43" s="53"/>
    </row>
    <row r="44" spans="1:6">
      <c r="A44" s="53"/>
      <c r="B44" s="53"/>
      <c r="C44" s="53"/>
      <c r="D44" s="53"/>
      <c r="E44" s="53"/>
      <c r="F44" s="53"/>
    </row>
    <row r="45" spans="1:6">
      <c r="A45" s="53"/>
      <c r="B45" s="53"/>
      <c r="C45" s="53"/>
      <c r="D45" s="53"/>
      <c r="E45" s="53"/>
      <c r="F45" s="53"/>
    </row>
    <row r="46" spans="1:6">
      <c r="A46" s="53"/>
      <c r="B46" s="53"/>
      <c r="C46" s="53"/>
      <c r="D46" s="53"/>
      <c r="E46" s="53"/>
      <c r="F46" s="53"/>
    </row>
    <row r="47" spans="1:6">
      <c r="A47" s="53"/>
      <c r="B47" s="53"/>
      <c r="C47" s="53"/>
      <c r="D47" s="53"/>
      <c r="E47" s="53"/>
      <c r="F47" s="53"/>
    </row>
    <row r="48" spans="1:6">
      <c r="A48" s="53"/>
      <c r="B48" s="53"/>
      <c r="C48" s="53"/>
      <c r="D48" s="53"/>
      <c r="E48" s="53"/>
      <c r="F48" s="53"/>
    </row>
    <row r="49" spans="1:6">
      <c r="A49" s="53"/>
      <c r="B49" s="53"/>
      <c r="C49" s="53"/>
      <c r="D49" s="53"/>
      <c r="E49" s="53"/>
      <c r="F49" s="53"/>
    </row>
    <row r="50" spans="1:6">
      <c r="A50" s="53"/>
      <c r="B50" s="53"/>
      <c r="C50" s="53"/>
      <c r="D50" s="53"/>
      <c r="E50" s="53"/>
      <c r="F50" s="53"/>
    </row>
    <row r="51" spans="1:6">
      <c r="A51" s="53"/>
      <c r="B51" s="53"/>
      <c r="C51" s="53"/>
      <c r="D51" s="53"/>
      <c r="E51" s="53"/>
      <c r="F51" s="53"/>
    </row>
    <row r="52" spans="1:6">
      <c r="A52" s="53"/>
      <c r="B52" s="53"/>
      <c r="C52" s="53"/>
      <c r="D52" s="53"/>
      <c r="E52" s="53"/>
      <c r="F52" s="53"/>
    </row>
    <row r="53" spans="1:6">
      <c r="A53" s="53"/>
      <c r="B53" s="53"/>
      <c r="C53" s="53"/>
      <c r="D53" s="53"/>
      <c r="E53" s="53"/>
      <c r="F53" s="53"/>
    </row>
    <row r="54" spans="1:6">
      <c r="A54" s="53"/>
      <c r="B54" s="53"/>
      <c r="C54" s="53"/>
      <c r="D54" s="53"/>
      <c r="E54" s="53"/>
      <c r="F54" s="53"/>
    </row>
    <row r="55" spans="1:6">
      <c r="A55" s="53"/>
      <c r="B55" s="53"/>
      <c r="C55" s="53"/>
      <c r="D55" s="53"/>
      <c r="E55" s="53"/>
      <c r="F55" s="53"/>
    </row>
    <row r="56" spans="1:6">
      <c r="A56" s="53"/>
      <c r="B56" s="53"/>
      <c r="C56" s="53"/>
      <c r="D56" s="53"/>
      <c r="E56" s="53"/>
      <c r="F56" s="53"/>
    </row>
    <row r="57" spans="1:6">
      <c r="A57" s="53"/>
      <c r="B57" s="53"/>
      <c r="C57" s="53"/>
      <c r="D57" s="53"/>
      <c r="E57" s="53"/>
      <c r="F57" s="53"/>
    </row>
    <row r="58" spans="1:6">
      <c r="A58" s="53"/>
      <c r="B58" s="53"/>
      <c r="C58" s="53"/>
      <c r="D58" s="53"/>
      <c r="E58" s="53"/>
      <c r="F58" s="53"/>
    </row>
    <row r="59" spans="1:6">
      <c r="A59" s="53"/>
      <c r="B59" s="53"/>
      <c r="C59" s="53"/>
      <c r="D59" s="53"/>
      <c r="E59" s="53"/>
      <c r="F59" s="53"/>
    </row>
    <row r="60" spans="1:6">
      <c r="A60" s="53"/>
      <c r="B60" s="53"/>
      <c r="C60" s="53"/>
      <c r="D60" s="53"/>
      <c r="E60" s="53"/>
      <c r="F60" s="53"/>
    </row>
    <row r="61" spans="1:6">
      <c r="A61" s="53"/>
      <c r="B61" s="53"/>
      <c r="C61" s="53"/>
      <c r="D61" s="53"/>
      <c r="E61" s="53"/>
      <c r="F61" s="53"/>
    </row>
    <row r="62" spans="1:6">
      <c r="A62" s="53"/>
      <c r="B62" s="53"/>
      <c r="C62" s="53"/>
      <c r="D62" s="53"/>
      <c r="E62" s="53"/>
      <c r="F62" s="53"/>
    </row>
    <row r="63" spans="1:6">
      <c r="A63" s="53"/>
      <c r="B63" s="53"/>
      <c r="C63" s="53"/>
      <c r="D63" s="53"/>
      <c r="E63" s="53"/>
      <c r="F63" s="53"/>
    </row>
    <row r="64" spans="1:6">
      <c r="A64" s="53"/>
      <c r="B64" s="53"/>
      <c r="C64" s="53"/>
      <c r="D64" s="53"/>
      <c r="E64" s="53"/>
      <c r="F64" s="53"/>
    </row>
    <row r="65" spans="1:6">
      <c r="A65" s="53"/>
      <c r="B65" s="53"/>
      <c r="C65" s="53"/>
      <c r="D65" s="53"/>
      <c r="E65" s="53"/>
      <c r="F65" s="53"/>
    </row>
  </sheetData>
  <mergeCells count="26">
    <mergeCell ref="Z14:AB14"/>
    <mergeCell ref="Q14:S14"/>
    <mergeCell ref="A2:B2"/>
    <mergeCell ref="C2:F2"/>
    <mergeCell ref="G2:H2"/>
    <mergeCell ref="I2:N2"/>
    <mergeCell ref="Q3:V3"/>
    <mergeCell ref="O3:P3"/>
    <mergeCell ref="Z1:AD4"/>
    <mergeCell ref="A4:B4"/>
    <mergeCell ref="C4:F4"/>
    <mergeCell ref="G4:H4"/>
    <mergeCell ref="I4:N4"/>
    <mergeCell ref="O4:P4"/>
    <mergeCell ref="O1:P2"/>
    <mergeCell ref="Q1:Y2"/>
    <mergeCell ref="W3:X3"/>
    <mergeCell ref="T4:U4"/>
    <mergeCell ref="V4:Y4"/>
    <mergeCell ref="Q4:S4"/>
    <mergeCell ref="A1:B1"/>
    <mergeCell ref="C1:N1"/>
    <mergeCell ref="A3:B3"/>
    <mergeCell ref="C3:F3"/>
    <mergeCell ref="G3:H3"/>
    <mergeCell ref="I3:N3"/>
  </mergeCells>
  <conditionalFormatting sqref="R7:R13">
    <cfRule type="cellIs" dxfId="473" priority="35" operator="greaterThan">
      <formula>0</formula>
    </cfRule>
    <cfRule type="cellIs" dxfId="472" priority="36" operator="lessThan">
      <formula>0</formula>
    </cfRule>
  </conditionalFormatting>
  <conditionalFormatting sqref="S7:S13">
    <cfRule type="containsText" dxfId="471" priority="33" operator="containsText" text="Alerta">
      <formula>NOT(ISERROR(SEARCH("Alerta",S7)))</formula>
    </cfRule>
    <cfRule type="containsText" dxfId="470" priority="34" operator="containsText" text="En tiempo">
      <formula>NOT(ISERROR(SEARCH("En tiempo",S7)))</formula>
    </cfRule>
  </conditionalFormatting>
  <conditionalFormatting sqref="U7:U14">
    <cfRule type="cellIs" dxfId="469" priority="1" stopIfTrue="1" operator="between">
      <formula>0.8</formula>
      <formula>1</formula>
    </cfRule>
    <cfRule type="cellIs" dxfId="468" priority="2" stopIfTrue="1" operator="between">
      <formula>0.5</formula>
      <formula>0.79</formula>
    </cfRule>
    <cfRule type="cellIs" dxfId="467" priority="3" stopIfTrue="1" operator="between">
      <formula>0.3</formula>
      <formula>0.49</formula>
    </cfRule>
    <cfRule type="cellIs" dxfId="466" priority="4" stopIfTrue="1" operator="between">
      <formula>0</formula>
      <formula>0.29</formula>
    </cfRule>
  </conditionalFormatting>
  <conditionalFormatting sqref="V7:V13">
    <cfRule type="cellIs" dxfId="465" priority="27" operator="between">
      <formula>0.19</formula>
      <formula>0</formula>
    </cfRule>
    <cfRule type="cellIs" dxfId="464" priority="28" operator="between">
      <formula>0.49</formula>
      <formula>0.2</formula>
    </cfRule>
    <cfRule type="cellIs" dxfId="463" priority="29" operator="between">
      <formula>0.89</formula>
      <formula>0.5</formula>
    </cfRule>
    <cfRule type="cellIs" dxfId="462" priority="30" operator="between">
      <formula>1</formula>
      <formula>0.9</formula>
    </cfRule>
  </conditionalFormatting>
  <conditionalFormatting sqref="W7:W13">
    <cfRule type="containsText" dxfId="461" priority="31" operator="containsText" text="Incumple">
      <formula>NOT(ISERROR(SEARCH("Incumple",W7)))</formula>
    </cfRule>
    <cfRule type="containsText" dxfId="460" priority="32" operator="containsText" text="Cumple">
      <formula>NOT(ISERROR(SEARCH("Cumple",W7)))</formula>
    </cfRule>
  </conditionalFormatting>
  <conditionalFormatting sqref="W14">
    <cfRule type="cellIs" dxfId="459" priority="8" operator="between">
      <formula>0.19</formula>
      <formula>0</formula>
    </cfRule>
    <cfRule type="cellIs" dxfId="458" priority="9" operator="between">
      <formula>0.49</formula>
      <formula>0.2</formula>
    </cfRule>
    <cfRule type="cellIs" dxfId="457" priority="10" operator="between">
      <formula>0.89</formula>
      <formula>0.5</formula>
    </cfRule>
    <cfRule type="cellIs" dxfId="456" priority="11" operator="between">
      <formula>1</formula>
      <formula>0.9</formula>
    </cfRule>
  </conditionalFormatting>
  <conditionalFormatting sqref="AC14">
    <cfRule type="cellIs" dxfId="455" priority="5" operator="between">
      <formula>0.3</formula>
      <formula>0</formula>
    </cfRule>
    <cfRule type="cellIs" dxfId="454" priority="6" operator="between">
      <formula>0.6999</formula>
      <formula>0.3111</formula>
    </cfRule>
    <cfRule type="cellIs" dxfId="453" priority="7" operator="between">
      <formula>1</formula>
      <formula>0.7</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AE3D9-DC91-4689-BEC8-45C4DA131EF1}">
  <sheetPr>
    <tabColor theme="0"/>
  </sheetPr>
  <dimension ref="A1:AD12"/>
  <sheetViews>
    <sheetView zoomScale="40" zoomScaleNormal="40" workbookViewId="0">
      <selection activeCell="Y21" sqref="Y21"/>
    </sheetView>
  </sheetViews>
  <sheetFormatPr defaultColWidth="18.85546875" defaultRowHeight="14.25"/>
  <cols>
    <col min="1" max="2" width="18.85546875" style="64"/>
    <col min="3" max="3" width="44.42578125" style="64" customWidth="1"/>
    <col min="4" max="4" width="41.5703125" style="64" customWidth="1"/>
    <col min="5" max="5" width="31.5703125" style="64" customWidth="1"/>
    <col min="6" max="6" width="33" style="64" customWidth="1"/>
    <col min="7" max="7" width="22.140625" style="64" customWidth="1"/>
    <col min="8" max="8" width="12" style="64" customWidth="1"/>
    <col min="9" max="9" width="12.5703125" style="64" customWidth="1"/>
    <col min="10" max="10" width="17.42578125" style="64" customWidth="1"/>
    <col min="11" max="11" width="11.42578125" style="64" customWidth="1"/>
    <col min="12" max="12" width="23.7109375" style="64" customWidth="1"/>
    <col min="13" max="13" width="16" style="64" customWidth="1"/>
    <col min="14" max="14" width="27.42578125" style="64" customWidth="1"/>
    <col min="15" max="15" width="14.5703125" style="64" customWidth="1"/>
    <col min="16" max="16" width="15.140625" style="64" customWidth="1"/>
    <col min="17" max="17" width="14" style="64" customWidth="1"/>
    <col min="18" max="19" width="14.85546875" style="64" customWidth="1"/>
    <col min="20" max="20" width="17.7109375" style="64" customWidth="1"/>
    <col min="21" max="21" width="17.42578125" style="64" customWidth="1"/>
    <col min="22" max="22" width="14.85546875" style="64" customWidth="1"/>
    <col min="23" max="23" width="17.7109375" style="64" customWidth="1"/>
    <col min="24" max="24" width="29.5703125" style="64" customWidth="1"/>
    <col min="25" max="25" width="60.5703125" style="64" customWidth="1"/>
    <col min="26" max="26" width="11.42578125" style="64" customWidth="1"/>
    <col min="27" max="27" width="13.42578125" style="64" customWidth="1"/>
    <col min="28" max="28" width="13.140625" style="64" customWidth="1"/>
    <col min="29" max="29" width="13.7109375" style="64" customWidth="1"/>
    <col min="30" max="30" width="26.85546875" style="64" customWidth="1"/>
  </cols>
  <sheetData>
    <row r="1" spans="1:30" ht="78.75"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3" t="s">
        <v>1</v>
      </c>
      <c r="AA1" s="663"/>
      <c r="AB1" s="663"/>
      <c r="AC1" s="663"/>
      <c r="AD1" s="663"/>
    </row>
    <row r="2" spans="1:30" ht="22.5"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63"/>
      <c r="AA2" s="663"/>
      <c r="AB2" s="663"/>
      <c r="AC2" s="663"/>
      <c r="AD2" s="663"/>
    </row>
    <row r="3" spans="1:30" ht="36.75" customHeight="1">
      <c r="A3" s="677" t="s">
        <v>6</v>
      </c>
      <c r="B3" s="677"/>
      <c r="C3" s="663" t="s">
        <v>218</v>
      </c>
      <c r="D3" s="663"/>
      <c r="E3" s="663"/>
      <c r="F3" s="663"/>
      <c r="G3" s="677" t="s">
        <v>8</v>
      </c>
      <c r="H3" s="677"/>
      <c r="I3" s="665">
        <v>43789</v>
      </c>
      <c r="J3" s="663"/>
      <c r="K3" s="663"/>
      <c r="L3" s="663"/>
      <c r="M3" s="663"/>
      <c r="N3" s="663"/>
      <c r="O3" s="677" t="s">
        <v>9</v>
      </c>
      <c r="P3" s="677"/>
      <c r="Q3" s="665" t="s">
        <v>157</v>
      </c>
      <c r="R3" s="665"/>
      <c r="S3" s="665"/>
      <c r="T3" s="665"/>
      <c r="U3" s="665"/>
      <c r="V3" s="665"/>
      <c r="W3" s="677" t="s">
        <v>10</v>
      </c>
      <c r="X3" s="677"/>
      <c r="Y3" s="378" t="s">
        <v>158</v>
      </c>
      <c r="Z3" s="663"/>
      <c r="AA3" s="663"/>
      <c r="AB3" s="663"/>
      <c r="AC3" s="663"/>
      <c r="AD3" s="663"/>
    </row>
    <row r="4" spans="1:30" ht="33" customHeight="1" thickBot="1">
      <c r="A4" s="677" t="s">
        <v>12</v>
      </c>
      <c r="B4" s="677"/>
      <c r="C4" s="663" t="s">
        <v>304</v>
      </c>
      <c r="D4" s="663"/>
      <c r="E4" s="663"/>
      <c r="F4" s="663"/>
      <c r="G4" s="677" t="s">
        <v>14</v>
      </c>
      <c r="H4" s="677"/>
      <c r="I4" s="665"/>
      <c r="J4" s="665"/>
      <c r="K4" s="665"/>
      <c r="L4" s="665"/>
      <c r="M4" s="665"/>
      <c r="N4" s="665"/>
      <c r="O4" s="677" t="s">
        <v>15</v>
      </c>
      <c r="P4" s="677"/>
      <c r="Q4" s="663" t="s">
        <v>16</v>
      </c>
      <c r="R4" s="663"/>
      <c r="S4" s="663"/>
      <c r="T4" s="664" t="s">
        <v>17</v>
      </c>
      <c r="U4" s="664"/>
      <c r="V4" s="663"/>
      <c r="W4" s="663"/>
      <c r="X4" s="663"/>
      <c r="Y4" s="663"/>
      <c r="Z4" s="663"/>
      <c r="AA4" s="663"/>
      <c r="AB4" s="663"/>
      <c r="AC4" s="663"/>
      <c r="AD4" s="663"/>
    </row>
    <row r="5" spans="1:30" ht="15.75" thickBot="1">
      <c r="A5" s="686" t="s">
        <v>18</v>
      </c>
      <c r="B5" s="687"/>
      <c r="C5" s="687"/>
      <c r="D5" s="687"/>
      <c r="E5" s="687"/>
      <c r="F5" s="687"/>
      <c r="G5" s="687"/>
      <c r="H5" s="687"/>
      <c r="I5" s="687"/>
      <c r="J5" s="687"/>
      <c r="K5" s="687"/>
      <c r="L5" s="687"/>
      <c r="M5" s="687"/>
      <c r="N5" s="688"/>
      <c r="O5" s="680" t="s">
        <v>19</v>
      </c>
      <c r="P5" s="681"/>
      <c r="Q5" s="681"/>
      <c r="R5" s="681"/>
      <c r="S5" s="681"/>
      <c r="T5" s="681"/>
      <c r="U5" s="681"/>
      <c r="V5" s="681"/>
      <c r="W5" s="681"/>
      <c r="X5" s="681"/>
      <c r="Y5" s="682"/>
      <c r="Z5" s="683" t="s">
        <v>20</v>
      </c>
      <c r="AA5" s="684"/>
      <c r="AB5" s="684"/>
      <c r="AC5" s="684"/>
      <c r="AD5" s="685"/>
    </row>
    <row r="6" spans="1:30" ht="134.25" customHeight="1" thickBot="1">
      <c r="A6" s="457" t="s">
        <v>21</v>
      </c>
      <c r="B6" s="457" t="s">
        <v>22</v>
      </c>
      <c r="C6" s="457" t="s">
        <v>23</v>
      </c>
      <c r="D6" s="457" t="s">
        <v>24</v>
      </c>
      <c r="E6" s="457" t="s">
        <v>25</v>
      </c>
      <c r="F6" s="457" t="s">
        <v>26</v>
      </c>
      <c r="G6" s="457" t="s">
        <v>27</v>
      </c>
      <c r="H6" s="457" t="s">
        <v>28</v>
      </c>
      <c r="I6" s="457" t="s">
        <v>29</v>
      </c>
      <c r="J6" s="457" t="s">
        <v>30</v>
      </c>
      <c r="K6" s="457" t="s">
        <v>31</v>
      </c>
      <c r="L6" s="457" t="s">
        <v>32</v>
      </c>
      <c r="M6" s="457" t="s">
        <v>33</v>
      </c>
      <c r="N6" s="457" t="s">
        <v>34</v>
      </c>
      <c r="O6" s="458" t="s">
        <v>35</v>
      </c>
      <c r="P6" s="458" t="s">
        <v>36</v>
      </c>
      <c r="Q6" s="458" t="s">
        <v>37</v>
      </c>
      <c r="R6" s="458" t="s">
        <v>38</v>
      </c>
      <c r="S6" s="458" t="s">
        <v>39</v>
      </c>
      <c r="T6" s="458" t="s">
        <v>40</v>
      </c>
      <c r="U6" s="458" t="s">
        <v>41</v>
      </c>
      <c r="V6" s="458" t="s">
        <v>42</v>
      </c>
      <c r="W6" s="458" t="s">
        <v>43</v>
      </c>
      <c r="X6" s="458" t="s">
        <v>44</v>
      </c>
      <c r="Y6" s="458" t="s">
        <v>45</v>
      </c>
      <c r="Z6" s="459" t="s">
        <v>46</v>
      </c>
      <c r="AA6" s="459" t="s">
        <v>47</v>
      </c>
      <c r="AB6" s="459" t="s">
        <v>48</v>
      </c>
      <c r="AC6" s="459" t="s">
        <v>49</v>
      </c>
      <c r="AD6" s="459" t="s">
        <v>50</v>
      </c>
    </row>
    <row r="7" spans="1:30" ht="231">
      <c r="A7" s="300" t="s">
        <v>51</v>
      </c>
      <c r="B7" s="300" t="s">
        <v>52</v>
      </c>
      <c r="C7" s="300" t="s">
        <v>305</v>
      </c>
      <c r="D7" s="300" t="s">
        <v>306</v>
      </c>
      <c r="E7" s="300" t="s">
        <v>307</v>
      </c>
      <c r="F7" s="300" t="s">
        <v>308</v>
      </c>
      <c r="G7" s="300" t="s">
        <v>309</v>
      </c>
      <c r="H7" s="300">
        <v>1</v>
      </c>
      <c r="I7" s="293" t="s">
        <v>310</v>
      </c>
      <c r="J7" s="300" t="s">
        <v>59</v>
      </c>
      <c r="K7" s="300" t="s">
        <v>60</v>
      </c>
      <c r="L7" s="300" t="s">
        <v>309</v>
      </c>
      <c r="M7" s="295">
        <v>43789</v>
      </c>
      <c r="N7" s="295">
        <v>44560</v>
      </c>
      <c r="O7" s="462">
        <f>(+N7-M7)/7</f>
        <v>110.14285714285714</v>
      </c>
      <c r="P7" s="460">
        <v>45106</v>
      </c>
      <c r="Q7" s="293"/>
      <c r="R7" s="463">
        <f>(P7-M7)/7-O7</f>
        <v>78</v>
      </c>
      <c r="S7" s="464" t="str">
        <f ca="1">IF((N7-TODAY())/7&gt;=0,"En tiempo","Alerta")</f>
        <v>Alerta</v>
      </c>
      <c r="T7" s="496">
        <v>0.3</v>
      </c>
      <c r="U7" s="190">
        <f>IF(T7/H7=1,1,+T7/H7)</f>
        <v>0.3</v>
      </c>
      <c r="V7" s="466">
        <f>IF(R7&gt;O7,0%,IF(R7&lt;=0,"100%",1-(R7/O7)))</f>
        <v>0.29182879377431903</v>
      </c>
      <c r="W7" s="498" t="str">
        <f>IF(P7&lt;=N7,"Cumple","Incumple")</f>
        <v>Incumple</v>
      </c>
      <c r="X7" s="293" t="s">
        <v>311</v>
      </c>
      <c r="Y7" s="570" t="s">
        <v>312</v>
      </c>
      <c r="Z7" s="304">
        <f>(U7+V7)/2</f>
        <v>0.29591439688715948</v>
      </c>
      <c r="AA7" s="304"/>
      <c r="AB7" s="304"/>
      <c r="AC7" s="304">
        <f>AVERAGE(Z7:AB7)</f>
        <v>0.29591439688715948</v>
      </c>
      <c r="AD7" s="293"/>
    </row>
    <row r="8" spans="1:30" ht="43.5">
      <c r="A8" s="300" t="s">
        <v>51</v>
      </c>
      <c r="B8" s="300" t="s">
        <v>52</v>
      </c>
      <c r="C8" s="300" t="s">
        <v>313</v>
      </c>
      <c r="D8" s="300" t="s">
        <v>314</v>
      </c>
      <c r="E8" s="300" t="s">
        <v>315</v>
      </c>
      <c r="F8" s="300" t="s">
        <v>316</v>
      </c>
      <c r="G8" s="300" t="s">
        <v>317</v>
      </c>
      <c r="H8" s="300">
        <v>1</v>
      </c>
      <c r="I8" s="293" t="s">
        <v>310</v>
      </c>
      <c r="J8" s="300" t="s">
        <v>59</v>
      </c>
      <c r="K8" s="300" t="s">
        <v>60</v>
      </c>
      <c r="L8" s="300" t="s">
        <v>317</v>
      </c>
      <c r="M8" s="295">
        <v>43941</v>
      </c>
      <c r="N8" s="295">
        <v>44560</v>
      </c>
      <c r="O8" s="462">
        <f t="shared" ref="O8:O11" si="0">(+N8-M8)/7</f>
        <v>88.428571428571431</v>
      </c>
      <c r="P8" s="460">
        <v>45106</v>
      </c>
      <c r="Q8" s="293"/>
      <c r="R8" s="463">
        <f t="shared" ref="R8:R11" si="1">(P8-M8)/7-O8</f>
        <v>77.999999999999986</v>
      </c>
      <c r="S8" s="464" t="str">
        <f t="shared" ref="S8:S11" ca="1" si="2">IF((N8-TODAY())/7&gt;=0,"En tiempo","Alerta")</f>
        <v>Alerta</v>
      </c>
      <c r="T8" s="496">
        <v>0.7</v>
      </c>
      <c r="U8" s="190">
        <f t="shared" ref="U8:U11" si="3">IF(T8/H8=1,1,+T8/H8)</f>
        <v>0.7</v>
      </c>
      <c r="V8" s="466">
        <f t="shared" ref="V8:V11" si="4">IF(R8&gt;O8,0%,IF(R8&lt;=0,"100%",1-(R8/O8)))</f>
        <v>0.11793214862681767</v>
      </c>
      <c r="W8" s="498" t="str">
        <f t="shared" ref="W8:W11" si="5">IF(P8&lt;=N8,"Cumple","Incumple")</f>
        <v>Incumple</v>
      </c>
      <c r="X8" s="293" t="s">
        <v>318</v>
      </c>
      <c r="Y8" s="570" t="s">
        <v>319</v>
      </c>
      <c r="Z8" s="304">
        <f t="shared" ref="Z8:Z11" si="6">(U8+V8)/2</f>
        <v>0.40896607431340881</v>
      </c>
      <c r="AA8" s="304"/>
      <c r="AB8" s="304"/>
      <c r="AC8" s="304">
        <f t="shared" ref="AC8:AC11" si="7">AVERAGE(Z8:AB8)</f>
        <v>0.40896607431340881</v>
      </c>
      <c r="AD8" s="305"/>
    </row>
    <row r="9" spans="1:30" ht="86.25">
      <c r="A9" s="300" t="s">
        <v>51</v>
      </c>
      <c r="B9" s="300" t="s">
        <v>52</v>
      </c>
      <c r="C9" s="300" t="s">
        <v>320</v>
      </c>
      <c r="D9" s="300" t="s">
        <v>321</v>
      </c>
      <c r="E9" s="300" t="s">
        <v>322</v>
      </c>
      <c r="F9" s="300" t="s">
        <v>323</v>
      </c>
      <c r="G9" s="300" t="s">
        <v>324</v>
      </c>
      <c r="H9" s="300">
        <v>3</v>
      </c>
      <c r="I9" s="293" t="s">
        <v>310</v>
      </c>
      <c r="J9" s="300" t="s">
        <v>59</v>
      </c>
      <c r="K9" s="300" t="s">
        <v>60</v>
      </c>
      <c r="L9" s="300" t="s">
        <v>324</v>
      </c>
      <c r="M9" s="295">
        <v>43789</v>
      </c>
      <c r="N9" s="295">
        <v>44560</v>
      </c>
      <c r="O9" s="462">
        <f t="shared" si="0"/>
        <v>110.14285714285714</v>
      </c>
      <c r="P9" s="294">
        <v>44377</v>
      </c>
      <c r="Q9" s="294">
        <v>44377</v>
      </c>
      <c r="R9" s="463">
        <f t="shared" si="1"/>
        <v>-26.142857142857139</v>
      </c>
      <c r="S9" s="464" t="str">
        <f t="shared" ca="1" si="2"/>
        <v>Alerta</v>
      </c>
      <c r="T9" s="496">
        <v>3</v>
      </c>
      <c r="U9" s="190">
        <f t="shared" si="3"/>
        <v>1</v>
      </c>
      <c r="V9" s="466" t="str">
        <f t="shared" si="4"/>
        <v>100%</v>
      </c>
      <c r="W9" s="498" t="str">
        <f t="shared" si="5"/>
        <v>Cumple</v>
      </c>
      <c r="X9" s="305"/>
      <c r="Y9" s="624" t="s">
        <v>325</v>
      </c>
      <c r="Z9" s="304">
        <f t="shared" si="6"/>
        <v>1</v>
      </c>
      <c r="AA9" s="304"/>
      <c r="AB9" s="304"/>
      <c r="AC9" s="304">
        <f t="shared" si="7"/>
        <v>1</v>
      </c>
      <c r="AD9" s="305"/>
    </row>
    <row r="10" spans="1:30" ht="115.5">
      <c r="A10" s="300" t="s">
        <v>51</v>
      </c>
      <c r="B10" s="300" t="s">
        <v>52</v>
      </c>
      <c r="C10" s="300" t="s">
        <v>326</v>
      </c>
      <c r="D10" s="300" t="s">
        <v>327</v>
      </c>
      <c r="E10" s="300" t="s">
        <v>328</v>
      </c>
      <c r="F10" s="300" t="s">
        <v>329</v>
      </c>
      <c r="G10" s="300" t="s">
        <v>330</v>
      </c>
      <c r="H10" s="300">
        <v>1</v>
      </c>
      <c r="I10" s="293" t="s">
        <v>310</v>
      </c>
      <c r="J10" s="300" t="s">
        <v>59</v>
      </c>
      <c r="K10" s="300" t="s">
        <v>60</v>
      </c>
      <c r="L10" s="300" t="s">
        <v>330</v>
      </c>
      <c r="M10" s="295">
        <v>43789</v>
      </c>
      <c r="N10" s="295">
        <v>44560</v>
      </c>
      <c r="O10" s="462">
        <f t="shared" si="0"/>
        <v>110.14285714285714</v>
      </c>
      <c r="P10" s="294">
        <v>44377</v>
      </c>
      <c r="Q10" s="294">
        <v>44377</v>
      </c>
      <c r="R10" s="463">
        <f t="shared" si="1"/>
        <v>-26.142857142857139</v>
      </c>
      <c r="S10" s="464" t="str">
        <f t="shared" ca="1" si="2"/>
        <v>Alerta</v>
      </c>
      <c r="T10" s="496">
        <v>1</v>
      </c>
      <c r="U10" s="190">
        <f t="shared" si="3"/>
        <v>1</v>
      </c>
      <c r="V10" s="466" t="str">
        <f t="shared" si="4"/>
        <v>100%</v>
      </c>
      <c r="W10" s="498" t="str">
        <f t="shared" si="5"/>
        <v>Cumple</v>
      </c>
      <c r="X10" s="305"/>
      <c r="Y10" s="624" t="s">
        <v>331</v>
      </c>
      <c r="Z10" s="304">
        <f t="shared" si="6"/>
        <v>1</v>
      </c>
      <c r="AA10" s="304"/>
      <c r="AB10" s="304"/>
      <c r="AC10" s="304">
        <f t="shared" si="7"/>
        <v>1</v>
      </c>
      <c r="AD10" s="305"/>
    </row>
    <row r="11" spans="1:30" ht="289.5">
      <c r="A11" s="300" t="s">
        <v>51</v>
      </c>
      <c r="B11" s="300" t="s">
        <v>52</v>
      </c>
      <c r="C11" s="300" t="s">
        <v>332</v>
      </c>
      <c r="D11" s="300" t="s">
        <v>333</v>
      </c>
      <c r="E11" s="300" t="s">
        <v>334</v>
      </c>
      <c r="F11" s="300" t="s">
        <v>335</v>
      </c>
      <c r="G11" s="300" t="s">
        <v>336</v>
      </c>
      <c r="H11" s="300">
        <v>1</v>
      </c>
      <c r="I11" s="293" t="s">
        <v>310</v>
      </c>
      <c r="J11" s="300" t="s">
        <v>59</v>
      </c>
      <c r="K11" s="300" t="s">
        <v>60</v>
      </c>
      <c r="L11" s="300" t="s">
        <v>336</v>
      </c>
      <c r="M11" s="295">
        <v>43941</v>
      </c>
      <c r="N11" s="295">
        <v>44560</v>
      </c>
      <c r="O11" s="462">
        <f t="shared" si="0"/>
        <v>88.428571428571431</v>
      </c>
      <c r="P11" s="294">
        <v>45106</v>
      </c>
      <c r="Q11" s="293"/>
      <c r="R11" s="463">
        <f t="shared" si="1"/>
        <v>77.999999999999986</v>
      </c>
      <c r="S11" s="464" t="str">
        <f t="shared" ca="1" si="2"/>
        <v>Alerta</v>
      </c>
      <c r="T11" s="496">
        <v>0</v>
      </c>
      <c r="U11" s="190">
        <f t="shared" si="3"/>
        <v>0</v>
      </c>
      <c r="V11" s="466">
        <f t="shared" si="4"/>
        <v>0.11793214862681767</v>
      </c>
      <c r="W11" s="498" t="str">
        <f t="shared" si="5"/>
        <v>Incumple</v>
      </c>
      <c r="X11" s="293" t="s">
        <v>337</v>
      </c>
      <c r="Y11" s="570" t="s">
        <v>338</v>
      </c>
      <c r="Z11" s="304">
        <f t="shared" si="6"/>
        <v>5.8966074313408834E-2</v>
      </c>
      <c r="AA11" s="304"/>
      <c r="AB11" s="304"/>
      <c r="AC11" s="304">
        <f t="shared" si="7"/>
        <v>5.8966074313408834E-2</v>
      </c>
      <c r="AD11" s="305"/>
    </row>
    <row r="12" spans="1:30" ht="15.75" thickBot="1">
      <c r="G12" s="327" t="s">
        <v>153</v>
      </c>
      <c r="H12" s="462">
        <f>SUM(H7:H11)</f>
        <v>7</v>
      </c>
      <c r="I12" s="74"/>
      <c r="J12" s="74"/>
      <c r="K12" s="74"/>
      <c r="L12" s="74"/>
      <c r="M12" s="74"/>
      <c r="N12" s="74"/>
      <c r="O12" s="74"/>
      <c r="P12" s="74"/>
      <c r="Q12" s="678" t="s">
        <v>154</v>
      </c>
      <c r="R12" s="678"/>
      <c r="S12" s="678"/>
      <c r="T12" s="465">
        <f>SUM(T7:T11)</f>
        <v>5</v>
      </c>
      <c r="U12" s="161">
        <f>AVERAGE(U7:U11)</f>
        <v>0.6</v>
      </c>
      <c r="V12" s="470" t="s">
        <v>43</v>
      </c>
      <c r="W12" s="471">
        <f>(COUNTIF(W7:W11,"Cumple"))/COUNTA(W7:W11)</f>
        <v>0.4</v>
      </c>
      <c r="X12" s="74"/>
      <c r="Y12" s="74"/>
      <c r="Z12" s="678" t="s">
        <v>154</v>
      </c>
      <c r="AA12" s="678"/>
      <c r="AB12" s="678"/>
      <c r="AC12" s="471">
        <f>AVERAGE(AC7:AC11)</f>
        <v>0.55276930910279543</v>
      </c>
    </row>
  </sheetData>
  <mergeCells count="29">
    <mergeCell ref="Q12:S12"/>
    <mergeCell ref="Z12:AB12"/>
    <mergeCell ref="O5:Y5"/>
    <mergeCell ref="Z5:AD5"/>
    <mergeCell ref="A5:N5"/>
    <mergeCell ref="T4:U4"/>
    <mergeCell ref="V4:Y4"/>
    <mergeCell ref="A4:B4"/>
    <mergeCell ref="C4:F4"/>
    <mergeCell ref="G4:H4"/>
    <mergeCell ref="I4:N4"/>
    <mergeCell ref="O4:P4"/>
    <mergeCell ref="Q4:S4"/>
    <mergeCell ref="W3:X3"/>
    <mergeCell ref="O1:P2"/>
    <mergeCell ref="Q1:Y2"/>
    <mergeCell ref="Z1:AD4"/>
    <mergeCell ref="A2:B2"/>
    <mergeCell ref="C2:F2"/>
    <mergeCell ref="G2:H2"/>
    <mergeCell ref="I2:N2"/>
    <mergeCell ref="Q3:V3"/>
    <mergeCell ref="A1:B1"/>
    <mergeCell ref="C1:N1"/>
    <mergeCell ref="A3:B3"/>
    <mergeCell ref="C3:F3"/>
    <mergeCell ref="G3:H3"/>
    <mergeCell ref="I3:N3"/>
    <mergeCell ref="O3:P3"/>
  </mergeCells>
  <conditionalFormatting sqref="R7:R11">
    <cfRule type="cellIs" dxfId="452" priority="24" operator="greaterThan">
      <formula>0</formula>
    </cfRule>
    <cfRule type="cellIs" dxfId="451" priority="25" operator="lessThan">
      <formula>0</formula>
    </cfRule>
  </conditionalFormatting>
  <conditionalFormatting sqref="S7:S11">
    <cfRule type="containsText" dxfId="450" priority="22" operator="containsText" text="Alerta">
      <formula>NOT(ISERROR(SEARCH("Alerta",S7)))</formula>
    </cfRule>
    <cfRule type="containsText" dxfId="449" priority="23" operator="containsText" text="En tiempo">
      <formula>NOT(ISERROR(SEARCH("En tiempo",S7)))</formula>
    </cfRule>
  </conditionalFormatting>
  <conditionalFormatting sqref="U7:U12">
    <cfRule type="cellIs" dxfId="448" priority="1" stopIfTrue="1" operator="between">
      <formula>0.8</formula>
      <formula>1</formula>
    </cfRule>
    <cfRule type="cellIs" dxfId="447" priority="2" stopIfTrue="1" operator="between">
      <formula>0.5</formula>
      <formula>0.79</formula>
    </cfRule>
    <cfRule type="cellIs" dxfId="446" priority="3" stopIfTrue="1" operator="between">
      <formula>0.3</formula>
      <formula>0.49</formula>
    </cfRule>
    <cfRule type="cellIs" dxfId="445" priority="4" stopIfTrue="1" operator="between">
      <formula>0</formula>
      <formula>0.29</formula>
    </cfRule>
  </conditionalFormatting>
  <conditionalFormatting sqref="V7:V11">
    <cfRule type="cellIs" dxfId="444" priority="16" operator="between">
      <formula>0.19</formula>
      <formula>0</formula>
    </cfRule>
    <cfRule type="cellIs" dxfId="443" priority="17" operator="between">
      <formula>0.49</formula>
      <formula>0.2</formula>
    </cfRule>
    <cfRule type="cellIs" dxfId="442" priority="18" operator="between">
      <formula>0.89</formula>
      <formula>0.5</formula>
    </cfRule>
    <cfRule type="cellIs" dxfId="441" priority="19" operator="between">
      <formula>1</formula>
      <formula>0.9</formula>
    </cfRule>
  </conditionalFormatting>
  <conditionalFormatting sqref="W7:W11">
    <cfRule type="containsText" dxfId="440" priority="20" operator="containsText" text="Incumple">
      <formula>NOT(ISERROR(SEARCH("Incumple",W7)))</formula>
    </cfRule>
    <cfRule type="containsText" dxfId="439" priority="21" operator="containsText" text="Cumple">
      <formula>NOT(ISERROR(SEARCH("Cumple",W7)))</formula>
    </cfRule>
  </conditionalFormatting>
  <conditionalFormatting sqref="W12">
    <cfRule type="cellIs" dxfId="438" priority="8" operator="between">
      <formula>0.19</formula>
      <formula>0</formula>
    </cfRule>
    <cfRule type="cellIs" dxfId="437" priority="9" operator="between">
      <formula>0.49</formula>
      <formula>0.2</formula>
    </cfRule>
    <cfRule type="cellIs" dxfId="436" priority="10" operator="between">
      <formula>0.89</formula>
      <formula>0.5</formula>
    </cfRule>
    <cfRule type="cellIs" dxfId="435" priority="11" operator="between">
      <formula>1</formula>
      <formula>0.9</formula>
    </cfRule>
  </conditionalFormatting>
  <conditionalFormatting sqref="AC12">
    <cfRule type="cellIs" dxfId="434" priority="5" operator="between">
      <formula>0.3</formula>
      <formula>0</formula>
    </cfRule>
    <cfRule type="cellIs" dxfId="433" priority="6" operator="between">
      <formula>0.6999</formula>
      <formula>0.3111</formula>
    </cfRule>
    <cfRule type="cellIs" dxfId="432" priority="7" operator="between">
      <formula>1</formula>
      <formula>0.7</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1EF4-F903-4DEF-9ED0-DBFDEAA65F50}">
  <sheetPr>
    <tabColor theme="0"/>
  </sheetPr>
  <dimension ref="A1:AD30"/>
  <sheetViews>
    <sheetView zoomScale="40" zoomScaleNormal="40" workbookViewId="0">
      <selection activeCell="X7" sqref="X7"/>
    </sheetView>
  </sheetViews>
  <sheetFormatPr defaultColWidth="18.85546875" defaultRowHeight="12.75"/>
  <cols>
    <col min="1" max="2" width="18.85546875" style="53"/>
    <col min="3" max="3" width="57.7109375" style="53" customWidth="1"/>
    <col min="4" max="4" width="41.5703125" style="53" customWidth="1"/>
    <col min="5" max="5" width="31.5703125" style="53" customWidth="1"/>
    <col min="6" max="6" width="33" style="53" customWidth="1"/>
    <col min="7" max="7" width="22.140625" style="53" customWidth="1"/>
    <col min="8" max="8" width="13.28515625" style="53" customWidth="1"/>
    <col min="9" max="9" width="15.42578125" style="53" customWidth="1"/>
    <col min="10" max="10" width="13.28515625" style="53" customWidth="1"/>
    <col min="11" max="11" width="13" style="53" customWidth="1"/>
    <col min="12" max="12" width="14.28515625" style="53" customWidth="1"/>
    <col min="13" max="13" width="14.85546875" style="53" customWidth="1"/>
    <col min="14" max="14" width="17.140625" style="53" customWidth="1"/>
    <col min="15" max="15" width="12.42578125" style="53" customWidth="1"/>
    <col min="16" max="16" width="14.140625" style="53" customWidth="1"/>
    <col min="17" max="19" width="18.85546875" style="53" customWidth="1"/>
    <col min="20" max="20" width="16.28515625" style="53" customWidth="1"/>
    <col min="21" max="21" width="15.5703125" style="53" customWidth="1"/>
    <col min="22" max="22" width="15" style="53" customWidth="1"/>
    <col min="23" max="23" width="15.5703125" style="53" customWidth="1"/>
    <col min="24" max="24" width="29.5703125" style="53" customWidth="1"/>
    <col min="25" max="25" width="42.7109375" style="53" customWidth="1"/>
    <col min="26" max="26" width="13.85546875" style="53" bestFit="1" customWidth="1"/>
    <col min="27" max="27" width="11" style="53" customWidth="1"/>
    <col min="28" max="28" width="12" style="53" customWidth="1"/>
    <col min="29" max="29" width="13.85546875" style="53" bestFit="1" customWidth="1"/>
    <col min="30" max="30" width="26.85546875" style="53" customWidth="1"/>
    <col min="31" max="16384" width="18.85546875" style="53"/>
  </cols>
  <sheetData>
    <row r="1" spans="1:30" ht="86.25"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3" t="s">
        <v>1</v>
      </c>
      <c r="AA1" s="663"/>
      <c r="AB1" s="663"/>
      <c r="AC1" s="663"/>
      <c r="AD1" s="663"/>
    </row>
    <row r="2" spans="1:30" ht="22.5"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63"/>
      <c r="AA2" s="663"/>
      <c r="AB2" s="663"/>
      <c r="AC2" s="663"/>
      <c r="AD2" s="663"/>
    </row>
    <row r="3" spans="1:30" ht="36.75" customHeight="1">
      <c r="A3" s="677" t="s">
        <v>6</v>
      </c>
      <c r="B3" s="677"/>
      <c r="C3" s="663" t="s">
        <v>339</v>
      </c>
      <c r="D3" s="663"/>
      <c r="E3" s="663"/>
      <c r="F3" s="663"/>
      <c r="G3" s="677" t="s">
        <v>8</v>
      </c>
      <c r="H3" s="677"/>
      <c r="I3" s="665">
        <v>44531</v>
      </c>
      <c r="J3" s="663"/>
      <c r="K3" s="663"/>
      <c r="L3" s="663"/>
      <c r="M3" s="663"/>
      <c r="N3" s="663"/>
      <c r="O3" s="677" t="s">
        <v>9</v>
      </c>
      <c r="P3" s="677"/>
      <c r="Q3" s="665">
        <v>45289</v>
      </c>
      <c r="R3" s="665"/>
      <c r="S3" s="665"/>
      <c r="T3" s="665"/>
      <c r="U3" s="665"/>
      <c r="V3" s="665"/>
      <c r="W3" s="677" t="s">
        <v>10</v>
      </c>
      <c r="X3" s="677"/>
      <c r="Y3" s="378" t="s">
        <v>11</v>
      </c>
      <c r="Z3" s="663"/>
      <c r="AA3" s="663"/>
      <c r="AB3" s="663"/>
      <c r="AC3" s="663"/>
      <c r="AD3" s="663"/>
    </row>
    <row r="4" spans="1:30" ht="33" customHeight="1" thickBot="1">
      <c r="A4" s="677" t="s">
        <v>12</v>
      </c>
      <c r="B4" s="677"/>
      <c r="C4" s="663" t="s">
        <v>340</v>
      </c>
      <c r="D4" s="663"/>
      <c r="E4" s="663"/>
      <c r="F4" s="663"/>
      <c r="G4" s="677" t="s">
        <v>14</v>
      </c>
      <c r="H4" s="677"/>
      <c r="I4" s="665">
        <v>44926</v>
      </c>
      <c r="J4" s="665"/>
      <c r="K4" s="665"/>
      <c r="L4" s="665"/>
      <c r="M4" s="665"/>
      <c r="N4" s="665"/>
      <c r="O4" s="677" t="s">
        <v>15</v>
      </c>
      <c r="P4" s="677"/>
      <c r="Q4" s="663" t="s">
        <v>16</v>
      </c>
      <c r="R4" s="663"/>
      <c r="S4" s="663"/>
      <c r="T4" s="664" t="s">
        <v>17</v>
      </c>
      <c r="U4" s="664"/>
      <c r="V4" s="663"/>
      <c r="W4" s="663"/>
      <c r="X4" s="663"/>
      <c r="Y4" s="663"/>
      <c r="Z4" s="663"/>
      <c r="AA4" s="663"/>
      <c r="AB4" s="663"/>
      <c r="AC4" s="663"/>
      <c r="AD4" s="663"/>
    </row>
    <row r="5" spans="1:30" ht="15.75" thickBot="1">
      <c r="A5" s="686" t="s">
        <v>18</v>
      </c>
      <c r="B5" s="687"/>
      <c r="C5" s="687"/>
      <c r="D5" s="687"/>
      <c r="E5" s="687"/>
      <c r="F5" s="687"/>
      <c r="G5" s="687"/>
      <c r="H5" s="687"/>
      <c r="I5" s="687"/>
      <c r="J5" s="687"/>
      <c r="K5" s="687"/>
      <c r="L5" s="687"/>
      <c r="M5" s="687"/>
      <c r="N5" s="688"/>
      <c r="O5" s="680" t="s">
        <v>19</v>
      </c>
      <c r="P5" s="681"/>
      <c r="Q5" s="681"/>
      <c r="R5" s="681"/>
      <c r="S5" s="681"/>
      <c r="T5" s="681"/>
      <c r="U5" s="681"/>
      <c r="V5" s="681"/>
      <c r="W5" s="681"/>
      <c r="X5" s="681"/>
      <c r="Y5" s="682"/>
      <c r="Z5" s="683" t="s">
        <v>20</v>
      </c>
      <c r="AA5" s="684"/>
      <c r="AB5" s="684"/>
      <c r="AC5" s="684"/>
      <c r="AD5" s="685"/>
    </row>
    <row r="6" spans="1:30" ht="105.75" thickBot="1">
      <c r="A6" s="457" t="s">
        <v>21</v>
      </c>
      <c r="B6" s="457" t="s">
        <v>22</v>
      </c>
      <c r="C6" s="457" t="s">
        <v>23</v>
      </c>
      <c r="D6" s="457" t="s">
        <v>24</v>
      </c>
      <c r="E6" s="457" t="s">
        <v>25</v>
      </c>
      <c r="F6" s="457" t="s">
        <v>26</v>
      </c>
      <c r="G6" s="457" t="s">
        <v>27</v>
      </c>
      <c r="H6" s="457" t="s">
        <v>28</v>
      </c>
      <c r="I6" s="457" t="s">
        <v>29</v>
      </c>
      <c r="J6" s="457" t="s">
        <v>30</v>
      </c>
      <c r="K6" s="457" t="s">
        <v>31</v>
      </c>
      <c r="L6" s="457" t="s">
        <v>32</v>
      </c>
      <c r="M6" s="457" t="s">
        <v>33</v>
      </c>
      <c r="N6" s="457" t="s">
        <v>34</v>
      </c>
      <c r="O6" s="458" t="s">
        <v>35</v>
      </c>
      <c r="P6" s="458" t="s">
        <v>36</v>
      </c>
      <c r="Q6" s="458" t="s">
        <v>37</v>
      </c>
      <c r="R6" s="458" t="s">
        <v>38</v>
      </c>
      <c r="S6" s="458" t="s">
        <v>39</v>
      </c>
      <c r="T6" s="458" t="s">
        <v>40</v>
      </c>
      <c r="U6" s="458" t="s">
        <v>41</v>
      </c>
      <c r="V6" s="458" t="s">
        <v>42</v>
      </c>
      <c r="W6" s="458" t="s">
        <v>43</v>
      </c>
      <c r="X6" s="458" t="s">
        <v>44</v>
      </c>
      <c r="Y6" s="458" t="s">
        <v>45</v>
      </c>
      <c r="Z6" s="459" t="s">
        <v>46</v>
      </c>
      <c r="AA6" s="459" t="s">
        <v>47</v>
      </c>
      <c r="AB6" s="459" t="s">
        <v>48</v>
      </c>
      <c r="AC6" s="459" t="s">
        <v>49</v>
      </c>
      <c r="AD6" s="459" t="s">
        <v>50</v>
      </c>
    </row>
    <row r="7" spans="1:30" ht="245.25">
      <c r="A7" s="300" t="s">
        <v>51</v>
      </c>
      <c r="B7" s="300" t="s">
        <v>341</v>
      </c>
      <c r="C7" s="300" t="s">
        <v>342</v>
      </c>
      <c r="D7" s="300" t="s">
        <v>343</v>
      </c>
      <c r="E7" s="300" t="s">
        <v>344</v>
      </c>
      <c r="F7" s="300" t="s">
        <v>345</v>
      </c>
      <c r="G7" s="300" t="s">
        <v>346</v>
      </c>
      <c r="H7" s="300">
        <v>1</v>
      </c>
      <c r="I7" s="300" t="s">
        <v>347</v>
      </c>
      <c r="J7" s="300" t="s">
        <v>59</v>
      </c>
      <c r="K7" s="293" t="s">
        <v>60</v>
      </c>
      <c r="L7" s="300" t="s">
        <v>348</v>
      </c>
      <c r="M7" s="295">
        <v>44531</v>
      </c>
      <c r="N7" s="295">
        <v>44926</v>
      </c>
      <c r="O7" s="462">
        <f>(N7-M7)/7</f>
        <v>56.428571428571431</v>
      </c>
      <c r="P7" s="563">
        <v>45289</v>
      </c>
      <c r="Q7" s="293"/>
      <c r="R7" s="463">
        <f>(P7-M7)/7-O7</f>
        <v>51.857142857142861</v>
      </c>
      <c r="S7" s="464" t="str">
        <f ca="1">IF((N7-TODAY())/7&gt;=0,"En tiempo","Alerta")</f>
        <v>Alerta</v>
      </c>
      <c r="T7" s="496">
        <v>0.8</v>
      </c>
      <c r="U7" s="190">
        <f>IF(T7/H7=1,1,+T7/H7)</f>
        <v>0.8</v>
      </c>
      <c r="V7" s="466">
        <f>IF(R7&gt;O7,0%,IF(R7&lt;=0,"100%",1-(R7/O7)))</f>
        <v>8.1012658227848089E-2</v>
      </c>
      <c r="W7" s="467" t="str">
        <f>IF(P7&lt;=N7,"Cumple","Incumple")</f>
        <v>Incumple</v>
      </c>
      <c r="X7" s="269" t="s">
        <v>349</v>
      </c>
      <c r="Y7" s="624" t="s">
        <v>350</v>
      </c>
      <c r="Z7" s="293">
        <f>(U7+V7)/2</f>
        <v>0.44050632911392407</v>
      </c>
      <c r="AA7" s="293"/>
      <c r="AB7" s="293"/>
      <c r="AC7" s="293">
        <f>AVERAGE(Z7:AB7)</f>
        <v>0.44050632911392407</v>
      </c>
      <c r="AD7" s="293"/>
    </row>
    <row r="8" spans="1:30" ht="187.5">
      <c r="A8" s="300" t="s">
        <v>51</v>
      </c>
      <c r="B8" s="300" t="s">
        <v>341</v>
      </c>
      <c r="C8" s="300" t="s">
        <v>351</v>
      </c>
      <c r="D8" s="300" t="s">
        <v>343</v>
      </c>
      <c r="E8" s="300" t="s">
        <v>352</v>
      </c>
      <c r="F8" s="300" t="s">
        <v>345</v>
      </c>
      <c r="G8" s="300" t="s">
        <v>346</v>
      </c>
      <c r="H8" s="300">
        <v>1</v>
      </c>
      <c r="I8" s="300" t="s">
        <v>347</v>
      </c>
      <c r="J8" s="300" t="s">
        <v>59</v>
      </c>
      <c r="K8" s="293" t="s">
        <v>60</v>
      </c>
      <c r="L8" s="300" t="s">
        <v>353</v>
      </c>
      <c r="M8" s="295">
        <v>44531</v>
      </c>
      <c r="N8" s="295">
        <v>44926</v>
      </c>
      <c r="O8" s="462">
        <f t="shared" ref="O8:O29" si="0">(N8-M8)/7</f>
        <v>56.428571428571431</v>
      </c>
      <c r="P8" s="563">
        <v>45289</v>
      </c>
      <c r="Q8" s="293"/>
      <c r="R8" s="463">
        <f t="shared" ref="R8:R29" si="1">(P8-M8)/7-O8</f>
        <v>51.857142857142861</v>
      </c>
      <c r="S8" s="464" t="str">
        <f t="shared" ref="S8:S29" ca="1" si="2">IF((N8-TODAY())/7&gt;=0,"En tiempo","Alerta")</f>
        <v>Alerta</v>
      </c>
      <c r="T8" s="496">
        <v>0.8</v>
      </c>
      <c r="U8" s="190">
        <f t="shared" ref="U8:U29" si="3">IF(T8/H8=1,1,+T8/H8)</f>
        <v>0.8</v>
      </c>
      <c r="V8" s="466">
        <f t="shared" ref="V8:V29" si="4">IF(R8&gt;O8,0%,IF(R8&lt;=0,"100%",1-(R8/O8)))</f>
        <v>8.1012658227848089E-2</v>
      </c>
      <c r="W8" s="467" t="str">
        <f t="shared" ref="W8:W29" si="5">IF(P8&lt;=N8,"Cumple","Incumple")</f>
        <v>Incumple</v>
      </c>
      <c r="X8" s="269" t="s">
        <v>354</v>
      </c>
      <c r="Y8" s="624" t="s">
        <v>355</v>
      </c>
      <c r="Z8" s="293">
        <f t="shared" ref="Z8:Z29" si="6">(U8+V8)/2</f>
        <v>0.44050632911392407</v>
      </c>
      <c r="AA8" s="293"/>
      <c r="AB8" s="293"/>
      <c r="AC8" s="293">
        <f t="shared" ref="AC8:AC29" si="7">AVERAGE(Z8:AB8)</f>
        <v>0.44050632911392407</v>
      </c>
      <c r="AD8" s="305"/>
    </row>
    <row r="9" spans="1:30" ht="173.25">
      <c r="A9" s="300" t="s">
        <v>51</v>
      </c>
      <c r="B9" s="300" t="s">
        <v>341</v>
      </c>
      <c r="C9" s="300" t="s">
        <v>356</v>
      </c>
      <c r="D9" s="300" t="s">
        <v>357</v>
      </c>
      <c r="E9" s="300" t="s">
        <v>352</v>
      </c>
      <c r="F9" s="300" t="s">
        <v>358</v>
      </c>
      <c r="G9" s="300" t="s">
        <v>346</v>
      </c>
      <c r="H9" s="300">
        <v>1</v>
      </c>
      <c r="I9" s="300" t="s">
        <v>347</v>
      </c>
      <c r="J9" s="300" t="s">
        <v>59</v>
      </c>
      <c r="K9" s="293" t="s">
        <v>60</v>
      </c>
      <c r="L9" s="300" t="s">
        <v>359</v>
      </c>
      <c r="M9" s="295">
        <v>44531</v>
      </c>
      <c r="N9" s="295">
        <v>44926</v>
      </c>
      <c r="O9" s="462">
        <f t="shared" si="0"/>
        <v>56.428571428571431</v>
      </c>
      <c r="P9" s="563">
        <v>45289</v>
      </c>
      <c r="Q9" s="293"/>
      <c r="R9" s="463">
        <f t="shared" si="1"/>
        <v>51.857142857142861</v>
      </c>
      <c r="S9" s="464" t="str">
        <f t="shared" ca="1" si="2"/>
        <v>Alerta</v>
      </c>
      <c r="T9" s="496">
        <v>0.8</v>
      </c>
      <c r="U9" s="190">
        <f t="shared" si="3"/>
        <v>0.8</v>
      </c>
      <c r="V9" s="466">
        <f t="shared" si="4"/>
        <v>8.1012658227848089E-2</v>
      </c>
      <c r="W9" s="467" t="str">
        <f t="shared" si="5"/>
        <v>Incumple</v>
      </c>
      <c r="X9" s="269" t="s">
        <v>354</v>
      </c>
      <c r="Y9" s="624" t="s">
        <v>360</v>
      </c>
      <c r="Z9" s="293">
        <f t="shared" si="6"/>
        <v>0.44050632911392407</v>
      </c>
      <c r="AA9" s="293"/>
      <c r="AB9" s="293"/>
      <c r="AC9" s="293">
        <f t="shared" si="7"/>
        <v>0.44050632911392407</v>
      </c>
      <c r="AD9" s="305"/>
    </row>
    <row r="10" spans="1:30" ht="231">
      <c r="A10" s="300" t="s">
        <v>51</v>
      </c>
      <c r="B10" s="300" t="s">
        <v>341</v>
      </c>
      <c r="C10" s="300" t="s">
        <v>361</v>
      </c>
      <c r="D10" s="300" t="s">
        <v>362</v>
      </c>
      <c r="E10" s="300" t="s">
        <v>352</v>
      </c>
      <c r="F10" s="300" t="s">
        <v>363</v>
      </c>
      <c r="G10" s="300" t="s">
        <v>364</v>
      </c>
      <c r="H10" s="300">
        <v>1</v>
      </c>
      <c r="I10" s="300" t="s">
        <v>347</v>
      </c>
      <c r="J10" s="300" t="s">
        <v>59</v>
      </c>
      <c r="K10" s="293" t="s">
        <v>60</v>
      </c>
      <c r="L10" s="300" t="s">
        <v>365</v>
      </c>
      <c r="M10" s="295">
        <v>44531</v>
      </c>
      <c r="N10" s="295">
        <v>44926</v>
      </c>
      <c r="O10" s="462">
        <f t="shared" si="0"/>
        <v>56.428571428571431</v>
      </c>
      <c r="P10" s="563">
        <v>45289</v>
      </c>
      <c r="Q10" s="293"/>
      <c r="R10" s="463">
        <f t="shared" si="1"/>
        <v>51.857142857142861</v>
      </c>
      <c r="S10" s="464" t="str">
        <f t="shared" ca="1" si="2"/>
        <v>Alerta</v>
      </c>
      <c r="T10" s="496">
        <v>0.8</v>
      </c>
      <c r="U10" s="190">
        <f t="shared" si="3"/>
        <v>0.8</v>
      </c>
      <c r="V10" s="466">
        <f t="shared" si="4"/>
        <v>8.1012658227848089E-2</v>
      </c>
      <c r="W10" s="467" t="str">
        <f t="shared" si="5"/>
        <v>Incumple</v>
      </c>
      <c r="X10" s="269" t="s">
        <v>366</v>
      </c>
      <c r="Y10" s="269" t="s">
        <v>367</v>
      </c>
      <c r="Z10" s="293">
        <f t="shared" si="6"/>
        <v>0.44050632911392407</v>
      </c>
      <c r="AA10" s="293" t="s">
        <v>0</v>
      </c>
      <c r="AB10" s="293"/>
      <c r="AC10" s="293">
        <f t="shared" si="7"/>
        <v>0.44050632911392407</v>
      </c>
      <c r="AD10" s="305" t="s">
        <v>0</v>
      </c>
    </row>
    <row r="11" spans="1:30" ht="216.75">
      <c r="A11" s="300" t="s">
        <v>51</v>
      </c>
      <c r="B11" s="300" t="s">
        <v>341</v>
      </c>
      <c r="C11" s="300" t="s">
        <v>368</v>
      </c>
      <c r="D11" s="300" t="s">
        <v>369</v>
      </c>
      <c r="E11" s="300" t="s">
        <v>370</v>
      </c>
      <c r="F11" s="300" t="s">
        <v>371</v>
      </c>
      <c r="G11" s="300" t="s">
        <v>372</v>
      </c>
      <c r="H11" s="300">
        <v>2</v>
      </c>
      <c r="I11" s="300" t="s">
        <v>347</v>
      </c>
      <c r="J11" s="300" t="s">
        <v>59</v>
      </c>
      <c r="K11" s="293" t="s">
        <v>60</v>
      </c>
      <c r="L11" s="300" t="s">
        <v>373</v>
      </c>
      <c r="M11" s="295">
        <v>44531</v>
      </c>
      <c r="N11" s="295">
        <v>44926</v>
      </c>
      <c r="O11" s="462">
        <f t="shared" si="0"/>
        <v>56.428571428571431</v>
      </c>
      <c r="P11" s="563">
        <v>45289</v>
      </c>
      <c r="Q11" s="293"/>
      <c r="R11" s="463">
        <f t="shared" si="1"/>
        <v>51.857142857142861</v>
      </c>
      <c r="S11" s="464" t="str">
        <f t="shared" ca="1" si="2"/>
        <v>Alerta</v>
      </c>
      <c r="T11" s="496">
        <v>0.6</v>
      </c>
      <c r="U11" s="190">
        <f t="shared" si="3"/>
        <v>0.3</v>
      </c>
      <c r="V11" s="466">
        <f t="shared" si="4"/>
        <v>8.1012658227848089E-2</v>
      </c>
      <c r="W11" s="467" t="str">
        <f t="shared" si="5"/>
        <v>Incumple</v>
      </c>
      <c r="X11" s="269" t="s">
        <v>354</v>
      </c>
      <c r="Y11" s="269" t="s">
        <v>374</v>
      </c>
      <c r="Z11" s="293">
        <f t="shared" si="6"/>
        <v>0.19050632911392404</v>
      </c>
      <c r="AA11" s="293"/>
      <c r="AB11" s="293"/>
      <c r="AC11" s="293">
        <f t="shared" si="7"/>
        <v>0.19050632911392404</v>
      </c>
      <c r="AD11" s="305"/>
    </row>
    <row r="12" spans="1:30" ht="144">
      <c r="A12" s="300" t="s">
        <v>51</v>
      </c>
      <c r="B12" s="300" t="s">
        <v>341</v>
      </c>
      <c r="C12" s="300" t="s">
        <v>375</v>
      </c>
      <c r="D12" s="300" t="s">
        <v>343</v>
      </c>
      <c r="E12" s="300" t="s">
        <v>352</v>
      </c>
      <c r="F12" s="300" t="s">
        <v>345</v>
      </c>
      <c r="G12" s="300" t="s">
        <v>346</v>
      </c>
      <c r="H12" s="300">
        <v>1</v>
      </c>
      <c r="I12" s="300" t="s">
        <v>347</v>
      </c>
      <c r="J12" s="300" t="s">
        <v>59</v>
      </c>
      <c r="K12" s="293" t="s">
        <v>60</v>
      </c>
      <c r="L12" s="300" t="s">
        <v>376</v>
      </c>
      <c r="M12" s="295">
        <v>44531</v>
      </c>
      <c r="N12" s="295">
        <v>44926</v>
      </c>
      <c r="O12" s="462">
        <f t="shared" si="0"/>
        <v>56.428571428571431</v>
      </c>
      <c r="P12" s="563">
        <v>45289</v>
      </c>
      <c r="Q12" s="293"/>
      <c r="R12" s="463">
        <f t="shared" si="1"/>
        <v>51.857142857142861</v>
      </c>
      <c r="S12" s="464" t="str">
        <f t="shared" ca="1" si="2"/>
        <v>Alerta</v>
      </c>
      <c r="T12" s="496">
        <v>0</v>
      </c>
      <c r="U12" s="190">
        <f t="shared" si="3"/>
        <v>0</v>
      </c>
      <c r="V12" s="466">
        <f t="shared" si="4"/>
        <v>8.1012658227848089E-2</v>
      </c>
      <c r="W12" s="467" t="str">
        <f t="shared" si="5"/>
        <v>Incumple</v>
      </c>
      <c r="X12" s="269" t="s">
        <v>354</v>
      </c>
      <c r="Y12" s="624" t="s">
        <v>377</v>
      </c>
      <c r="Z12" s="293">
        <f t="shared" si="6"/>
        <v>4.0506329113924044E-2</v>
      </c>
      <c r="AA12" s="293"/>
      <c r="AB12" s="293"/>
      <c r="AC12" s="293">
        <f t="shared" si="7"/>
        <v>4.0506329113924044E-2</v>
      </c>
      <c r="AD12" s="305"/>
    </row>
    <row r="13" spans="1:30" ht="159">
      <c r="A13" s="300" t="s">
        <v>51</v>
      </c>
      <c r="B13" s="300" t="s">
        <v>341</v>
      </c>
      <c r="C13" s="300" t="s">
        <v>378</v>
      </c>
      <c r="D13" s="300" t="s">
        <v>343</v>
      </c>
      <c r="E13" s="300" t="s">
        <v>379</v>
      </c>
      <c r="F13" s="300" t="s">
        <v>380</v>
      </c>
      <c r="G13" s="300" t="s">
        <v>381</v>
      </c>
      <c r="H13" s="300">
        <v>1</v>
      </c>
      <c r="I13" s="300" t="s">
        <v>347</v>
      </c>
      <c r="J13" s="300" t="s">
        <v>59</v>
      </c>
      <c r="K13" s="293" t="s">
        <v>60</v>
      </c>
      <c r="L13" s="300" t="s">
        <v>382</v>
      </c>
      <c r="M13" s="295">
        <v>44531</v>
      </c>
      <c r="N13" s="295">
        <v>44926</v>
      </c>
      <c r="O13" s="462">
        <f t="shared" si="0"/>
        <v>56.428571428571431</v>
      </c>
      <c r="P13" s="563">
        <v>45289</v>
      </c>
      <c r="Q13" s="293"/>
      <c r="R13" s="463">
        <f t="shared" si="1"/>
        <v>51.857142857142861</v>
      </c>
      <c r="S13" s="464" t="str">
        <f t="shared" ca="1" si="2"/>
        <v>Alerta</v>
      </c>
      <c r="T13" s="496">
        <v>0.8</v>
      </c>
      <c r="U13" s="190">
        <f t="shared" si="3"/>
        <v>0.8</v>
      </c>
      <c r="V13" s="466">
        <f t="shared" si="4"/>
        <v>8.1012658227848089E-2</v>
      </c>
      <c r="W13" s="467" t="str">
        <f t="shared" si="5"/>
        <v>Incumple</v>
      </c>
      <c r="X13" s="269" t="s">
        <v>354</v>
      </c>
      <c r="Y13" s="269" t="s">
        <v>383</v>
      </c>
      <c r="Z13" s="293">
        <f t="shared" si="6"/>
        <v>0.44050632911392407</v>
      </c>
      <c r="AA13" s="293"/>
      <c r="AB13" s="293"/>
      <c r="AC13" s="293">
        <f t="shared" si="7"/>
        <v>0.44050632911392407</v>
      </c>
      <c r="AD13" s="305"/>
    </row>
    <row r="14" spans="1:30" ht="159">
      <c r="A14" s="300" t="s">
        <v>51</v>
      </c>
      <c r="B14" s="300" t="s">
        <v>341</v>
      </c>
      <c r="C14" s="300" t="s">
        <v>384</v>
      </c>
      <c r="D14" s="300" t="s">
        <v>343</v>
      </c>
      <c r="E14" s="300" t="s">
        <v>379</v>
      </c>
      <c r="F14" s="300" t="s">
        <v>380</v>
      </c>
      <c r="G14" s="300" t="s">
        <v>381</v>
      </c>
      <c r="H14" s="300">
        <v>1</v>
      </c>
      <c r="I14" s="300" t="s">
        <v>347</v>
      </c>
      <c r="J14" s="300" t="s">
        <v>59</v>
      </c>
      <c r="K14" s="293" t="s">
        <v>60</v>
      </c>
      <c r="L14" s="300" t="s">
        <v>382</v>
      </c>
      <c r="M14" s="295">
        <v>44531</v>
      </c>
      <c r="N14" s="295">
        <v>44926</v>
      </c>
      <c r="O14" s="462">
        <f t="shared" si="0"/>
        <v>56.428571428571431</v>
      </c>
      <c r="P14" s="563">
        <v>45289</v>
      </c>
      <c r="Q14" s="293"/>
      <c r="R14" s="463">
        <f t="shared" si="1"/>
        <v>51.857142857142861</v>
      </c>
      <c r="S14" s="464" t="str">
        <f t="shared" ca="1" si="2"/>
        <v>Alerta</v>
      </c>
      <c r="T14" s="496">
        <v>0.8</v>
      </c>
      <c r="U14" s="190">
        <f t="shared" si="3"/>
        <v>0.8</v>
      </c>
      <c r="V14" s="466">
        <f t="shared" si="4"/>
        <v>8.1012658227848089E-2</v>
      </c>
      <c r="W14" s="467" t="str">
        <f t="shared" si="5"/>
        <v>Incumple</v>
      </c>
      <c r="X14" s="269" t="s">
        <v>354</v>
      </c>
      <c r="Y14" s="269" t="s">
        <v>383</v>
      </c>
      <c r="Z14" s="293">
        <f t="shared" si="6"/>
        <v>0.44050632911392407</v>
      </c>
      <c r="AA14" s="293"/>
      <c r="AB14" s="293"/>
      <c r="AC14" s="293">
        <f t="shared" si="7"/>
        <v>0.44050632911392407</v>
      </c>
      <c r="AD14" s="305"/>
    </row>
    <row r="15" spans="1:30" ht="159">
      <c r="A15" s="300" t="s">
        <v>51</v>
      </c>
      <c r="B15" s="300" t="s">
        <v>341</v>
      </c>
      <c r="C15" s="300" t="s">
        <v>385</v>
      </c>
      <c r="D15" s="300" t="s">
        <v>343</v>
      </c>
      <c r="E15" s="300" t="s">
        <v>386</v>
      </c>
      <c r="F15" s="300" t="s">
        <v>387</v>
      </c>
      <c r="G15" s="300" t="s">
        <v>381</v>
      </c>
      <c r="H15" s="300">
        <v>1</v>
      </c>
      <c r="I15" s="300" t="s">
        <v>347</v>
      </c>
      <c r="J15" s="300" t="s">
        <v>59</v>
      </c>
      <c r="K15" s="293" t="s">
        <v>60</v>
      </c>
      <c r="L15" s="300" t="s">
        <v>388</v>
      </c>
      <c r="M15" s="295">
        <v>44531</v>
      </c>
      <c r="N15" s="295">
        <v>44926</v>
      </c>
      <c r="O15" s="462">
        <f t="shared" si="0"/>
        <v>56.428571428571431</v>
      </c>
      <c r="P15" s="563">
        <v>45289</v>
      </c>
      <c r="Q15" s="293"/>
      <c r="R15" s="463">
        <f t="shared" si="1"/>
        <v>51.857142857142861</v>
      </c>
      <c r="S15" s="464" t="str">
        <f t="shared" ca="1" si="2"/>
        <v>Alerta</v>
      </c>
      <c r="T15" s="496">
        <v>0.8</v>
      </c>
      <c r="U15" s="190">
        <f t="shared" si="3"/>
        <v>0.8</v>
      </c>
      <c r="V15" s="466">
        <f t="shared" si="4"/>
        <v>8.1012658227848089E-2</v>
      </c>
      <c r="W15" s="467" t="str">
        <f t="shared" si="5"/>
        <v>Incumple</v>
      </c>
      <c r="X15" s="269" t="s">
        <v>354</v>
      </c>
      <c r="Y15" s="269" t="s">
        <v>383</v>
      </c>
      <c r="Z15" s="293">
        <f t="shared" si="6"/>
        <v>0.44050632911392407</v>
      </c>
      <c r="AA15" s="293"/>
      <c r="AB15" s="293"/>
      <c r="AC15" s="293">
        <f t="shared" si="7"/>
        <v>0.44050632911392407</v>
      </c>
      <c r="AD15" s="305"/>
    </row>
    <row r="16" spans="1:30" ht="159">
      <c r="A16" s="300" t="s">
        <v>51</v>
      </c>
      <c r="B16" s="300" t="s">
        <v>341</v>
      </c>
      <c r="C16" s="300" t="s">
        <v>389</v>
      </c>
      <c r="D16" s="300" t="s">
        <v>343</v>
      </c>
      <c r="E16" s="300" t="s">
        <v>390</v>
      </c>
      <c r="F16" s="300" t="s">
        <v>391</v>
      </c>
      <c r="G16" s="300" t="s">
        <v>381</v>
      </c>
      <c r="H16" s="300">
        <v>1</v>
      </c>
      <c r="I16" s="300" t="s">
        <v>347</v>
      </c>
      <c r="J16" s="300" t="s">
        <v>59</v>
      </c>
      <c r="K16" s="293" t="s">
        <v>60</v>
      </c>
      <c r="L16" s="300" t="s">
        <v>392</v>
      </c>
      <c r="M16" s="295">
        <v>44531</v>
      </c>
      <c r="N16" s="295">
        <v>44926</v>
      </c>
      <c r="O16" s="462">
        <f t="shared" si="0"/>
        <v>56.428571428571431</v>
      </c>
      <c r="P16" s="563">
        <v>45289</v>
      </c>
      <c r="Q16" s="293"/>
      <c r="R16" s="463">
        <f t="shared" si="1"/>
        <v>51.857142857142861</v>
      </c>
      <c r="S16" s="464" t="str">
        <f t="shared" ca="1" si="2"/>
        <v>Alerta</v>
      </c>
      <c r="T16" s="496">
        <v>0.8</v>
      </c>
      <c r="U16" s="190">
        <f t="shared" si="3"/>
        <v>0.8</v>
      </c>
      <c r="V16" s="466">
        <f t="shared" si="4"/>
        <v>8.1012658227848089E-2</v>
      </c>
      <c r="W16" s="467" t="str">
        <f t="shared" si="5"/>
        <v>Incumple</v>
      </c>
      <c r="X16" s="269" t="s">
        <v>354</v>
      </c>
      <c r="Y16" s="269" t="s">
        <v>383</v>
      </c>
      <c r="Z16" s="293">
        <f t="shared" si="6"/>
        <v>0.44050632911392407</v>
      </c>
      <c r="AA16" s="293"/>
      <c r="AB16" s="293"/>
      <c r="AC16" s="293">
        <f t="shared" si="7"/>
        <v>0.44050632911392407</v>
      </c>
      <c r="AD16" s="305"/>
    </row>
    <row r="17" spans="1:30" ht="159">
      <c r="A17" s="300" t="s">
        <v>51</v>
      </c>
      <c r="B17" s="300" t="s">
        <v>341</v>
      </c>
      <c r="C17" s="300" t="s">
        <v>393</v>
      </c>
      <c r="D17" s="300" t="s">
        <v>343</v>
      </c>
      <c r="E17" s="300" t="s">
        <v>394</v>
      </c>
      <c r="F17" s="300" t="s">
        <v>345</v>
      </c>
      <c r="G17" s="300" t="s">
        <v>346</v>
      </c>
      <c r="H17" s="300">
        <v>1</v>
      </c>
      <c r="I17" s="300" t="s">
        <v>347</v>
      </c>
      <c r="J17" s="300" t="s">
        <v>59</v>
      </c>
      <c r="K17" s="293" t="s">
        <v>60</v>
      </c>
      <c r="L17" s="300" t="s">
        <v>388</v>
      </c>
      <c r="M17" s="295">
        <v>44531</v>
      </c>
      <c r="N17" s="295">
        <v>44926</v>
      </c>
      <c r="O17" s="462">
        <f t="shared" si="0"/>
        <v>56.428571428571431</v>
      </c>
      <c r="P17" s="563">
        <v>45289</v>
      </c>
      <c r="Q17" s="293"/>
      <c r="R17" s="463">
        <f t="shared" si="1"/>
        <v>51.857142857142861</v>
      </c>
      <c r="S17" s="464" t="str">
        <f t="shared" ca="1" si="2"/>
        <v>Alerta</v>
      </c>
      <c r="T17" s="496">
        <v>0.8</v>
      </c>
      <c r="U17" s="190">
        <f t="shared" si="3"/>
        <v>0.8</v>
      </c>
      <c r="V17" s="466">
        <f t="shared" si="4"/>
        <v>8.1012658227848089E-2</v>
      </c>
      <c r="W17" s="467" t="str">
        <f t="shared" si="5"/>
        <v>Incumple</v>
      </c>
      <c r="X17" s="269" t="s">
        <v>354</v>
      </c>
      <c r="Y17" s="269" t="s">
        <v>383</v>
      </c>
      <c r="Z17" s="293">
        <f t="shared" si="6"/>
        <v>0.44050632911392407</v>
      </c>
      <c r="AA17" s="293"/>
      <c r="AB17" s="293"/>
      <c r="AC17" s="293">
        <f t="shared" si="7"/>
        <v>0.44050632911392407</v>
      </c>
      <c r="AD17" s="305"/>
    </row>
    <row r="18" spans="1:30" ht="159">
      <c r="A18" s="300" t="s">
        <v>51</v>
      </c>
      <c r="B18" s="300" t="s">
        <v>341</v>
      </c>
      <c r="C18" s="300" t="s">
        <v>343</v>
      </c>
      <c r="D18" s="300" t="s">
        <v>343</v>
      </c>
      <c r="E18" s="300" t="s">
        <v>352</v>
      </c>
      <c r="F18" s="300" t="s">
        <v>345</v>
      </c>
      <c r="G18" s="300" t="s">
        <v>346</v>
      </c>
      <c r="H18" s="300">
        <v>1</v>
      </c>
      <c r="I18" s="300" t="s">
        <v>347</v>
      </c>
      <c r="J18" s="300" t="s">
        <v>59</v>
      </c>
      <c r="K18" s="293" t="s">
        <v>60</v>
      </c>
      <c r="L18" s="300" t="s">
        <v>348</v>
      </c>
      <c r="M18" s="295">
        <v>44531</v>
      </c>
      <c r="N18" s="295">
        <v>44926</v>
      </c>
      <c r="O18" s="462">
        <f t="shared" si="0"/>
        <v>56.428571428571431</v>
      </c>
      <c r="P18" s="563">
        <v>45289</v>
      </c>
      <c r="Q18" s="293"/>
      <c r="R18" s="463">
        <f t="shared" si="1"/>
        <v>51.857142857142861</v>
      </c>
      <c r="S18" s="464" t="str">
        <f t="shared" ca="1" si="2"/>
        <v>Alerta</v>
      </c>
      <c r="T18" s="496">
        <v>0.8</v>
      </c>
      <c r="U18" s="190">
        <f t="shared" si="3"/>
        <v>0.8</v>
      </c>
      <c r="V18" s="466">
        <f t="shared" si="4"/>
        <v>8.1012658227848089E-2</v>
      </c>
      <c r="W18" s="467" t="str">
        <f t="shared" si="5"/>
        <v>Incumple</v>
      </c>
      <c r="X18" s="269" t="s">
        <v>354</v>
      </c>
      <c r="Y18" s="269" t="s">
        <v>383</v>
      </c>
      <c r="Z18" s="293">
        <f t="shared" si="6"/>
        <v>0.44050632911392407</v>
      </c>
      <c r="AA18" s="293"/>
      <c r="AB18" s="293"/>
      <c r="AC18" s="293">
        <f t="shared" si="7"/>
        <v>0.44050632911392407</v>
      </c>
      <c r="AD18" s="305"/>
    </row>
    <row r="19" spans="1:30" ht="216.75">
      <c r="A19" s="300" t="s">
        <v>51</v>
      </c>
      <c r="B19" s="300" t="s">
        <v>341</v>
      </c>
      <c r="C19" s="300" t="s">
        <v>395</v>
      </c>
      <c r="D19" s="300" t="s">
        <v>343</v>
      </c>
      <c r="E19" s="300" t="s">
        <v>344</v>
      </c>
      <c r="F19" s="300" t="s">
        <v>396</v>
      </c>
      <c r="G19" s="300" t="s">
        <v>346</v>
      </c>
      <c r="H19" s="300">
        <v>1</v>
      </c>
      <c r="I19" s="300" t="s">
        <v>347</v>
      </c>
      <c r="J19" s="300" t="s">
        <v>59</v>
      </c>
      <c r="K19" s="293" t="s">
        <v>60</v>
      </c>
      <c r="L19" s="300" t="s">
        <v>388</v>
      </c>
      <c r="M19" s="295">
        <v>44531</v>
      </c>
      <c r="N19" s="295">
        <v>44926</v>
      </c>
      <c r="O19" s="462">
        <f t="shared" si="0"/>
        <v>56.428571428571431</v>
      </c>
      <c r="P19" s="563">
        <v>45289</v>
      </c>
      <c r="Q19" s="293"/>
      <c r="R19" s="463">
        <f t="shared" si="1"/>
        <v>51.857142857142861</v>
      </c>
      <c r="S19" s="464" t="str">
        <f t="shared" ca="1" si="2"/>
        <v>Alerta</v>
      </c>
      <c r="T19" s="496">
        <v>0.3</v>
      </c>
      <c r="U19" s="190">
        <f t="shared" si="3"/>
        <v>0.3</v>
      </c>
      <c r="V19" s="466">
        <f t="shared" si="4"/>
        <v>8.1012658227848089E-2</v>
      </c>
      <c r="W19" s="467" t="str">
        <f t="shared" si="5"/>
        <v>Incumple</v>
      </c>
      <c r="X19" s="269" t="s">
        <v>354</v>
      </c>
      <c r="Y19" s="624" t="s">
        <v>397</v>
      </c>
      <c r="Z19" s="293">
        <f t="shared" si="6"/>
        <v>0.19050632911392404</v>
      </c>
      <c r="AA19" s="293"/>
      <c r="AB19" s="293"/>
      <c r="AC19" s="293">
        <f t="shared" si="7"/>
        <v>0.19050632911392404</v>
      </c>
      <c r="AD19" s="305"/>
    </row>
    <row r="20" spans="1:30" ht="159">
      <c r="A20" s="300" t="s">
        <v>51</v>
      </c>
      <c r="B20" s="300" t="s">
        <v>341</v>
      </c>
      <c r="C20" s="300" t="s">
        <v>398</v>
      </c>
      <c r="D20" s="300" t="s">
        <v>343</v>
      </c>
      <c r="E20" s="300" t="s">
        <v>352</v>
      </c>
      <c r="F20" s="300" t="s">
        <v>345</v>
      </c>
      <c r="G20" s="300" t="s">
        <v>346</v>
      </c>
      <c r="H20" s="300">
        <v>1</v>
      </c>
      <c r="I20" s="300" t="s">
        <v>347</v>
      </c>
      <c r="J20" s="300" t="s">
        <v>59</v>
      </c>
      <c r="K20" s="293" t="s">
        <v>60</v>
      </c>
      <c r="L20" s="300" t="s">
        <v>376</v>
      </c>
      <c r="M20" s="295">
        <v>44531</v>
      </c>
      <c r="N20" s="295">
        <v>44926</v>
      </c>
      <c r="O20" s="462">
        <f t="shared" si="0"/>
        <v>56.428571428571431</v>
      </c>
      <c r="P20" s="563">
        <v>45289</v>
      </c>
      <c r="Q20" s="293"/>
      <c r="R20" s="463">
        <f t="shared" si="1"/>
        <v>51.857142857142861</v>
      </c>
      <c r="S20" s="464" t="str">
        <f t="shared" ca="1" si="2"/>
        <v>Alerta</v>
      </c>
      <c r="T20" s="496">
        <v>0.8</v>
      </c>
      <c r="U20" s="190">
        <f t="shared" si="3"/>
        <v>0.8</v>
      </c>
      <c r="V20" s="466">
        <f t="shared" si="4"/>
        <v>8.1012658227848089E-2</v>
      </c>
      <c r="W20" s="467" t="str">
        <f t="shared" si="5"/>
        <v>Incumple</v>
      </c>
      <c r="X20" s="269" t="s">
        <v>354</v>
      </c>
      <c r="Y20" s="624" t="s">
        <v>399</v>
      </c>
      <c r="Z20" s="293">
        <f t="shared" si="6"/>
        <v>0.44050632911392407</v>
      </c>
      <c r="AA20" s="293"/>
      <c r="AB20" s="293"/>
      <c r="AC20" s="293">
        <f t="shared" si="7"/>
        <v>0.44050632911392407</v>
      </c>
      <c r="AD20" s="305"/>
    </row>
    <row r="21" spans="1:30" ht="144">
      <c r="A21" s="300" t="s">
        <v>51</v>
      </c>
      <c r="B21" s="300" t="s">
        <v>341</v>
      </c>
      <c r="C21" s="300" t="s">
        <v>400</v>
      </c>
      <c r="D21" s="300" t="s">
        <v>343</v>
      </c>
      <c r="E21" s="300" t="s">
        <v>352</v>
      </c>
      <c r="F21" s="300" t="s">
        <v>345</v>
      </c>
      <c r="G21" s="300" t="s">
        <v>346</v>
      </c>
      <c r="H21" s="300">
        <v>1</v>
      </c>
      <c r="I21" s="300" t="s">
        <v>347</v>
      </c>
      <c r="J21" s="300" t="s">
        <v>59</v>
      </c>
      <c r="K21" s="293" t="s">
        <v>60</v>
      </c>
      <c r="L21" s="300" t="s">
        <v>376</v>
      </c>
      <c r="M21" s="295">
        <v>44531</v>
      </c>
      <c r="N21" s="295">
        <v>44926</v>
      </c>
      <c r="O21" s="462">
        <f t="shared" si="0"/>
        <v>56.428571428571431</v>
      </c>
      <c r="P21" s="563">
        <v>45289</v>
      </c>
      <c r="Q21" s="293"/>
      <c r="R21" s="463">
        <f t="shared" si="1"/>
        <v>51.857142857142861</v>
      </c>
      <c r="S21" s="464" t="str">
        <f t="shared" ca="1" si="2"/>
        <v>Alerta</v>
      </c>
      <c r="T21" s="496">
        <v>0.8</v>
      </c>
      <c r="U21" s="190">
        <f t="shared" si="3"/>
        <v>0.8</v>
      </c>
      <c r="V21" s="466">
        <f t="shared" si="4"/>
        <v>8.1012658227848089E-2</v>
      </c>
      <c r="W21" s="467" t="str">
        <f t="shared" si="5"/>
        <v>Incumple</v>
      </c>
      <c r="X21" s="269" t="s">
        <v>354</v>
      </c>
      <c r="Y21" s="624" t="s">
        <v>399</v>
      </c>
      <c r="Z21" s="293">
        <f t="shared" si="6"/>
        <v>0.44050632911392407</v>
      </c>
      <c r="AA21" s="293"/>
      <c r="AB21" s="293"/>
      <c r="AC21" s="293">
        <f t="shared" si="7"/>
        <v>0.44050632911392407</v>
      </c>
      <c r="AD21" s="305"/>
    </row>
    <row r="22" spans="1:30" ht="144">
      <c r="A22" s="300" t="s">
        <v>51</v>
      </c>
      <c r="B22" s="300" t="s">
        <v>341</v>
      </c>
      <c r="C22" s="300" t="s">
        <v>401</v>
      </c>
      <c r="D22" s="300" t="s">
        <v>343</v>
      </c>
      <c r="E22" s="300" t="s">
        <v>352</v>
      </c>
      <c r="F22" s="300" t="s">
        <v>345</v>
      </c>
      <c r="G22" s="300" t="s">
        <v>346</v>
      </c>
      <c r="H22" s="300">
        <v>1</v>
      </c>
      <c r="I22" s="300" t="s">
        <v>347</v>
      </c>
      <c r="J22" s="300" t="s">
        <v>59</v>
      </c>
      <c r="K22" s="293" t="s">
        <v>60</v>
      </c>
      <c r="L22" s="300" t="s">
        <v>376</v>
      </c>
      <c r="M22" s="295">
        <v>44531</v>
      </c>
      <c r="N22" s="295">
        <v>44926</v>
      </c>
      <c r="O22" s="462">
        <f t="shared" si="0"/>
        <v>56.428571428571431</v>
      </c>
      <c r="P22" s="563">
        <v>45289</v>
      </c>
      <c r="Q22" s="293"/>
      <c r="R22" s="463">
        <f t="shared" si="1"/>
        <v>51.857142857142861</v>
      </c>
      <c r="S22" s="464" t="str">
        <f t="shared" ca="1" si="2"/>
        <v>Alerta</v>
      </c>
      <c r="T22" s="496">
        <v>0.8</v>
      </c>
      <c r="U22" s="190">
        <f t="shared" si="3"/>
        <v>0.8</v>
      </c>
      <c r="V22" s="466">
        <f t="shared" si="4"/>
        <v>8.1012658227848089E-2</v>
      </c>
      <c r="W22" s="467" t="str">
        <f t="shared" si="5"/>
        <v>Incumple</v>
      </c>
      <c r="X22" s="269" t="s">
        <v>354</v>
      </c>
      <c r="Y22" s="624" t="s">
        <v>399</v>
      </c>
      <c r="Z22" s="293">
        <f t="shared" si="6"/>
        <v>0.44050632911392407</v>
      </c>
      <c r="AA22" s="293"/>
      <c r="AB22" s="293"/>
      <c r="AC22" s="293">
        <f t="shared" si="7"/>
        <v>0.44050632911392407</v>
      </c>
      <c r="AD22" s="305"/>
    </row>
    <row r="23" spans="1:30" ht="187.5">
      <c r="A23" s="300" t="s">
        <v>51</v>
      </c>
      <c r="B23" s="300" t="s">
        <v>341</v>
      </c>
      <c r="C23" s="300" t="s">
        <v>402</v>
      </c>
      <c r="D23" s="300" t="s">
        <v>403</v>
      </c>
      <c r="E23" s="300" t="s">
        <v>404</v>
      </c>
      <c r="F23" s="300" t="s">
        <v>405</v>
      </c>
      <c r="G23" s="300" t="s">
        <v>381</v>
      </c>
      <c r="H23" s="300">
        <v>1</v>
      </c>
      <c r="I23" s="300" t="s">
        <v>347</v>
      </c>
      <c r="J23" s="300" t="s">
        <v>59</v>
      </c>
      <c r="K23" s="293" t="s">
        <v>60</v>
      </c>
      <c r="L23" s="300" t="s">
        <v>406</v>
      </c>
      <c r="M23" s="295">
        <v>44531</v>
      </c>
      <c r="N23" s="295">
        <v>44926</v>
      </c>
      <c r="O23" s="462">
        <f t="shared" si="0"/>
        <v>56.428571428571431</v>
      </c>
      <c r="P23" s="563">
        <v>45289</v>
      </c>
      <c r="Q23" s="293"/>
      <c r="R23" s="463">
        <f t="shared" si="1"/>
        <v>51.857142857142861</v>
      </c>
      <c r="S23" s="464" t="str">
        <f t="shared" ca="1" si="2"/>
        <v>Alerta</v>
      </c>
      <c r="T23" s="496">
        <v>0</v>
      </c>
      <c r="U23" s="190">
        <f t="shared" si="3"/>
        <v>0</v>
      </c>
      <c r="V23" s="466">
        <f t="shared" si="4"/>
        <v>8.1012658227848089E-2</v>
      </c>
      <c r="W23" s="467" t="str">
        <f t="shared" si="5"/>
        <v>Incumple</v>
      </c>
      <c r="X23" s="269" t="s">
        <v>354</v>
      </c>
      <c r="Y23" s="624" t="s">
        <v>399</v>
      </c>
      <c r="Z23" s="293">
        <f t="shared" si="6"/>
        <v>4.0506329113924044E-2</v>
      </c>
      <c r="AA23" s="293"/>
      <c r="AB23" s="293"/>
      <c r="AC23" s="293">
        <f t="shared" si="7"/>
        <v>4.0506329113924044E-2</v>
      </c>
      <c r="AD23" s="305"/>
    </row>
    <row r="24" spans="1:30" ht="115.5">
      <c r="A24" s="300" t="s">
        <v>51</v>
      </c>
      <c r="B24" s="300" t="s">
        <v>341</v>
      </c>
      <c r="C24" s="300" t="s">
        <v>407</v>
      </c>
      <c r="D24" s="300" t="s">
        <v>61</v>
      </c>
      <c r="E24" s="300" t="s">
        <v>61</v>
      </c>
      <c r="F24" s="300" t="s">
        <v>408</v>
      </c>
      <c r="G24" s="300" t="s">
        <v>409</v>
      </c>
      <c r="H24" s="300">
        <v>1</v>
      </c>
      <c r="I24" s="300" t="s">
        <v>347</v>
      </c>
      <c r="J24" s="300" t="s">
        <v>59</v>
      </c>
      <c r="K24" s="293" t="s">
        <v>60</v>
      </c>
      <c r="L24" s="300" t="s">
        <v>388</v>
      </c>
      <c r="M24" s="295">
        <v>44531</v>
      </c>
      <c r="N24" s="295">
        <v>44926</v>
      </c>
      <c r="O24" s="462">
        <f t="shared" si="0"/>
        <v>56.428571428571431</v>
      </c>
      <c r="P24" s="294">
        <v>44907</v>
      </c>
      <c r="Q24" s="294">
        <v>44907</v>
      </c>
      <c r="R24" s="463">
        <f t="shared" si="1"/>
        <v>-2.7142857142857153</v>
      </c>
      <c r="S24" s="464" t="str">
        <f t="shared" ca="1" si="2"/>
        <v>Alerta</v>
      </c>
      <c r="T24" s="496">
        <v>1</v>
      </c>
      <c r="U24" s="190">
        <f t="shared" si="3"/>
        <v>1</v>
      </c>
      <c r="V24" s="466" t="str">
        <f t="shared" si="4"/>
        <v>100%</v>
      </c>
      <c r="W24" s="467" t="str">
        <f t="shared" si="5"/>
        <v>Cumple</v>
      </c>
      <c r="X24" s="269" t="s">
        <v>410</v>
      </c>
      <c r="Y24" s="625" t="s">
        <v>411</v>
      </c>
      <c r="Z24" s="293">
        <f t="shared" si="6"/>
        <v>1</v>
      </c>
      <c r="AA24" s="293"/>
      <c r="AB24" s="293"/>
      <c r="AC24" s="293">
        <f t="shared" si="7"/>
        <v>1</v>
      </c>
      <c r="AD24" s="305"/>
    </row>
    <row r="25" spans="1:30" ht="115.5">
      <c r="A25" s="300" t="s">
        <v>51</v>
      </c>
      <c r="B25" s="300" t="s">
        <v>341</v>
      </c>
      <c r="C25" s="300" t="s">
        <v>412</v>
      </c>
      <c r="D25" s="300" t="s">
        <v>343</v>
      </c>
      <c r="E25" s="300" t="s">
        <v>352</v>
      </c>
      <c r="F25" s="300" t="s">
        <v>345</v>
      </c>
      <c r="G25" s="300" t="s">
        <v>346</v>
      </c>
      <c r="H25" s="300">
        <v>1</v>
      </c>
      <c r="I25" s="300" t="s">
        <v>347</v>
      </c>
      <c r="J25" s="300" t="s">
        <v>59</v>
      </c>
      <c r="K25" s="293" t="s">
        <v>60</v>
      </c>
      <c r="L25" s="300" t="s">
        <v>376</v>
      </c>
      <c r="M25" s="295">
        <v>44531</v>
      </c>
      <c r="N25" s="295">
        <v>44926</v>
      </c>
      <c r="O25" s="462">
        <f t="shared" si="0"/>
        <v>56.428571428571431</v>
      </c>
      <c r="P25" s="294">
        <v>44907</v>
      </c>
      <c r="Q25" s="294">
        <v>44907</v>
      </c>
      <c r="R25" s="463">
        <f t="shared" si="1"/>
        <v>-2.7142857142857153</v>
      </c>
      <c r="S25" s="464" t="str">
        <f t="shared" ca="1" si="2"/>
        <v>Alerta</v>
      </c>
      <c r="T25" s="496">
        <v>1</v>
      </c>
      <c r="U25" s="190">
        <f t="shared" si="3"/>
        <v>1</v>
      </c>
      <c r="V25" s="466" t="str">
        <f t="shared" si="4"/>
        <v>100%</v>
      </c>
      <c r="W25" s="467" t="str">
        <f t="shared" si="5"/>
        <v>Cumple</v>
      </c>
      <c r="X25" s="624" t="s">
        <v>413</v>
      </c>
      <c r="Y25" s="624" t="s">
        <v>414</v>
      </c>
      <c r="Z25" s="293">
        <f t="shared" si="6"/>
        <v>1</v>
      </c>
      <c r="AA25" s="293"/>
      <c r="AB25" s="293"/>
      <c r="AC25" s="293">
        <f t="shared" si="7"/>
        <v>1</v>
      </c>
      <c r="AD25" s="305"/>
    </row>
    <row r="26" spans="1:30" ht="144">
      <c r="A26" s="300" t="s">
        <v>51</v>
      </c>
      <c r="B26" s="300" t="s">
        <v>341</v>
      </c>
      <c r="C26" s="300" t="s">
        <v>415</v>
      </c>
      <c r="D26" s="300" t="s">
        <v>343</v>
      </c>
      <c r="E26" s="300" t="s">
        <v>352</v>
      </c>
      <c r="F26" s="300" t="s">
        <v>345</v>
      </c>
      <c r="G26" s="300" t="s">
        <v>346</v>
      </c>
      <c r="H26" s="300">
        <v>1</v>
      </c>
      <c r="I26" s="300" t="s">
        <v>347</v>
      </c>
      <c r="J26" s="300" t="s">
        <v>59</v>
      </c>
      <c r="K26" s="293" t="s">
        <v>60</v>
      </c>
      <c r="L26" s="300" t="s">
        <v>388</v>
      </c>
      <c r="M26" s="295">
        <v>44531</v>
      </c>
      <c r="N26" s="295">
        <v>44926</v>
      </c>
      <c r="O26" s="462">
        <f t="shared" si="0"/>
        <v>56.428571428571431</v>
      </c>
      <c r="P26" s="563">
        <v>45289</v>
      </c>
      <c r="Q26" s="293"/>
      <c r="R26" s="463">
        <f t="shared" si="1"/>
        <v>51.857142857142861</v>
      </c>
      <c r="S26" s="464" t="str">
        <f t="shared" ca="1" si="2"/>
        <v>Alerta</v>
      </c>
      <c r="T26" s="496">
        <v>0</v>
      </c>
      <c r="U26" s="190">
        <f t="shared" si="3"/>
        <v>0</v>
      </c>
      <c r="V26" s="466">
        <f t="shared" si="4"/>
        <v>8.1012658227848089E-2</v>
      </c>
      <c r="W26" s="467" t="str">
        <f t="shared" si="5"/>
        <v>Incumple</v>
      </c>
      <c r="X26" s="269" t="s">
        <v>354</v>
      </c>
      <c r="Y26" s="624" t="s">
        <v>399</v>
      </c>
      <c r="Z26" s="293">
        <f t="shared" si="6"/>
        <v>4.0506329113924044E-2</v>
      </c>
      <c r="AA26" s="293"/>
      <c r="AB26" s="293"/>
      <c r="AC26" s="293">
        <f t="shared" si="7"/>
        <v>4.0506329113924044E-2</v>
      </c>
      <c r="AD26" s="305"/>
    </row>
    <row r="27" spans="1:30" ht="144">
      <c r="A27" s="300" t="s">
        <v>51</v>
      </c>
      <c r="B27" s="300" t="s">
        <v>341</v>
      </c>
      <c r="C27" s="300" t="s">
        <v>416</v>
      </c>
      <c r="D27" s="300" t="s">
        <v>343</v>
      </c>
      <c r="E27" s="300" t="s">
        <v>352</v>
      </c>
      <c r="F27" s="300" t="s">
        <v>345</v>
      </c>
      <c r="G27" s="300" t="s">
        <v>346</v>
      </c>
      <c r="H27" s="300">
        <v>1</v>
      </c>
      <c r="I27" s="300" t="s">
        <v>347</v>
      </c>
      <c r="J27" s="300" t="s">
        <v>59</v>
      </c>
      <c r="K27" s="293" t="s">
        <v>60</v>
      </c>
      <c r="L27" s="300" t="s">
        <v>376</v>
      </c>
      <c r="M27" s="295">
        <v>44531</v>
      </c>
      <c r="N27" s="295">
        <v>44926</v>
      </c>
      <c r="O27" s="462">
        <f t="shared" si="0"/>
        <v>56.428571428571431</v>
      </c>
      <c r="P27" s="563">
        <v>45289</v>
      </c>
      <c r="Q27" s="293"/>
      <c r="R27" s="463">
        <f t="shared" si="1"/>
        <v>51.857142857142861</v>
      </c>
      <c r="S27" s="464" t="str">
        <f t="shared" ca="1" si="2"/>
        <v>Alerta</v>
      </c>
      <c r="T27" s="496">
        <v>0</v>
      </c>
      <c r="U27" s="190">
        <f t="shared" si="3"/>
        <v>0</v>
      </c>
      <c r="V27" s="466">
        <f t="shared" si="4"/>
        <v>8.1012658227848089E-2</v>
      </c>
      <c r="W27" s="467" t="str">
        <f t="shared" si="5"/>
        <v>Incumple</v>
      </c>
      <c r="X27" s="269" t="s">
        <v>354</v>
      </c>
      <c r="Y27" s="624" t="s">
        <v>399</v>
      </c>
      <c r="Z27" s="293">
        <f t="shared" si="6"/>
        <v>4.0506329113924044E-2</v>
      </c>
      <c r="AA27" s="293"/>
      <c r="AB27" s="293"/>
      <c r="AC27" s="293">
        <f t="shared" si="7"/>
        <v>4.0506329113924044E-2</v>
      </c>
      <c r="AD27" s="305"/>
    </row>
    <row r="28" spans="1:30" ht="173.25">
      <c r="A28" s="300" t="s">
        <v>51</v>
      </c>
      <c r="B28" s="300" t="s">
        <v>341</v>
      </c>
      <c r="C28" s="300" t="s">
        <v>417</v>
      </c>
      <c r="D28" s="300" t="s">
        <v>418</v>
      </c>
      <c r="E28" s="300" t="s">
        <v>419</v>
      </c>
      <c r="F28" s="300" t="s">
        <v>345</v>
      </c>
      <c r="G28" s="300" t="s">
        <v>346</v>
      </c>
      <c r="H28" s="300">
        <v>1</v>
      </c>
      <c r="I28" s="300" t="s">
        <v>347</v>
      </c>
      <c r="J28" s="300" t="s">
        <v>59</v>
      </c>
      <c r="K28" s="293" t="s">
        <v>60</v>
      </c>
      <c r="L28" s="300" t="s">
        <v>376</v>
      </c>
      <c r="M28" s="295">
        <v>44531</v>
      </c>
      <c r="N28" s="295">
        <v>44926</v>
      </c>
      <c r="O28" s="462">
        <f t="shared" si="0"/>
        <v>56.428571428571431</v>
      </c>
      <c r="P28" s="294">
        <v>45105</v>
      </c>
      <c r="Q28" s="294">
        <v>45105</v>
      </c>
      <c r="R28" s="463">
        <f t="shared" si="1"/>
        <v>25.571428571428569</v>
      </c>
      <c r="S28" s="464" t="str">
        <f t="shared" ca="1" si="2"/>
        <v>Alerta</v>
      </c>
      <c r="T28" s="496">
        <v>1</v>
      </c>
      <c r="U28" s="190">
        <f t="shared" si="3"/>
        <v>1</v>
      </c>
      <c r="V28" s="466">
        <f t="shared" si="4"/>
        <v>0.54683544303797471</v>
      </c>
      <c r="W28" s="467" t="str">
        <f t="shared" si="5"/>
        <v>Incumple</v>
      </c>
      <c r="X28" s="624" t="s">
        <v>420</v>
      </c>
      <c r="Y28" s="624" t="s">
        <v>421</v>
      </c>
      <c r="Z28" s="293">
        <f t="shared" si="6"/>
        <v>0.77341772151898736</v>
      </c>
      <c r="AA28" s="293"/>
      <c r="AB28" s="293"/>
      <c r="AC28" s="293">
        <f t="shared" si="7"/>
        <v>0.77341772151898736</v>
      </c>
      <c r="AD28" s="305"/>
    </row>
    <row r="29" spans="1:30" ht="115.5">
      <c r="A29" s="300" t="s">
        <v>51</v>
      </c>
      <c r="B29" s="300" t="s">
        <v>341</v>
      </c>
      <c r="C29" s="300" t="s">
        <v>422</v>
      </c>
      <c r="D29" s="300" t="s">
        <v>343</v>
      </c>
      <c r="E29" s="300" t="s">
        <v>352</v>
      </c>
      <c r="F29" s="300" t="s">
        <v>345</v>
      </c>
      <c r="G29" s="300" t="s">
        <v>346</v>
      </c>
      <c r="H29" s="300">
        <v>1</v>
      </c>
      <c r="I29" s="300" t="s">
        <v>347</v>
      </c>
      <c r="J29" s="300" t="s">
        <v>59</v>
      </c>
      <c r="K29" s="293" t="s">
        <v>60</v>
      </c>
      <c r="L29" s="300" t="s">
        <v>376</v>
      </c>
      <c r="M29" s="295">
        <v>44531</v>
      </c>
      <c r="N29" s="295">
        <v>44926</v>
      </c>
      <c r="O29" s="462">
        <f t="shared" si="0"/>
        <v>56.428571428571431</v>
      </c>
      <c r="P29" s="294">
        <v>44733</v>
      </c>
      <c r="Q29" s="294">
        <v>44733</v>
      </c>
      <c r="R29" s="463">
        <f t="shared" si="1"/>
        <v>-27.571428571428573</v>
      </c>
      <c r="S29" s="464" t="str">
        <f t="shared" ca="1" si="2"/>
        <v>Alerta</v>
      </c>
      <c r="T29" s="496">
        <v>1</v>
      </c>
      <c r="U29" s="190">
        <f t="shared" si="3"/>
        <v>1</v>
      </c>
      <c r="V29" s="466" t="str">
        <f t="shared" si="4"/>
        <v>100%</v>
      </c>
      <c r="W29" s="467" t="str">
        <f t="shared" si="5"/>
        <v>Cumple</v>
      </c>
      <c r="X29" s="624" t="s">
        <v>413</v>
      </c>
      <c r="Y29" s="624" t="s">
        <v>414</v>
      </c>
      <c r="Z29" s="293">
        <f t="shared" si="6"/>
        <v>1</v>
      </c>
      <c r="AA29" s="293"/>
      <c r="AB29" s="293"/>
      <c r="AC29" s="293">
        <f t="shared" si="7"/>
        <v>1</v>
      </c>
      <c r="AD29" s="305"/>
    </row>
    <row r="30" spans="1:30" ht="15.75" thickBot="1">
      <c r="A30" s="64"/>
      <c r="B30" s="64"/>
      <c r="C30" s="64"/>
      <c r="D30" s="64"/>
      <c r="E30" s="64"/>
      <c r="F30" s="64"/>
      <c r="G30" s="327" t="s">
        <v>153</v>
      </c>
      <c r="H30" s="462">
        <f>SUM(H7:H29)</f>
        <v>24</v>
      </c>
      <c r="R30" s="470" t="s">
        <v>154</v>
      </c>
      <c r="S30" s="470"/>
      <c r="T30" s="465">
        <f>SUM(T7:T29)</f>
        <v>15.300000000000002</v>
      </c>
      <c r="U30" s="497">
        <f>AVERAGE(U7:U29)</f>
        <v>0.65217391304347838</v>
      </c>
      <c r="V30" s="470" t="s">
        <v>43</v>
      </c>
      <c r="W30" s="471">
        <f>(COUNTIF(W7:W29,"Cumple"))/COUNTA(W7:W29)</f>
        <v>0.13043478260869565</v>
      </c>
      <c r="Z30" s="678" t="s">
        <v>154</v>
      </c>
      <c r="AA30" s="678"/>
      <c r="AB30" s="678"/>
      <c r="AC30" s="471">
        <f>AVERAGE(AC7:AC29)</f>
        <v>0.43665382498624106</v>
      </c>
      <c r="AD30" s="64"/>
    </row>
  </sheetData>
  <mergeCells count="28">
    <mergeCell ref="Z30:AB30"/>
    <mergeCell ref="A5:N5"/>
    <mergeCell ref="O5:Y5"/>
    <mergeCell ref="Z5:AD5"/>
    <mergeCell ref="T4:U4"/>
    <mergeCell ref="V4:Y4"/>
    <mergeCell ref="A4:B4"/>
    <mergeCell ref="C4:F4"/>
    <mergeCell ref="G4:H4"/>
    <mergeCell ref="I4:N4"/>
    <mergeCell ref="O4:P4"/>
    <mergeCell ref="Q4:S4"/>
    <mergeCell ref="O1:P2"/>
    <mergeCell ref="Q1:Y2"/>
    <mergeCell ref="W3:X3"/>
    <mergeCell ref="Z1:AD4"/>
    <mergeCell ref="A2:B2"/>
    <mergeCell ref="C2:F2"/>
    <mergeCell ref="G2:H2"/>
    <mergeCell ref="I2:N2"/>
    <mergeCell ref="Q3:V3"/>
    <mergeCell ref="A1:B1"/>
    <mergeCell ref="C1:N1"/>
    <mergeCell ref="A3:B3"/>
    <mergeCell ref="C3:F3"/>
    <mergeCell ref="G3:H3"/>
    <mergeCell ref="I3:N3"/>
    <mergeCell ref="O3:P3"/>
  </mergeCells>
  <conditionalFormatting sqref="R7:R29">
    <cfRule type="cellIs" dxfId="431" priority="24" operator="greaterThan">
      <formula>0</formula>
    </cfRule>
    <cfRule type="cellIs" dxfId="430" priority="25" operator="lessThan">
      <formula>0</formula>
    </cfRule>
  </conditionalFormatting>
  <conditionalFormatting sqref="S7:S29">
    <cfRule type="containsText" dxfId="429" priority="22" operator="containsText" text="Alerta">
      <formula>NOT(ISERROR(SEARCH("Alerta",S7)))</formula>
    </cfRule>
    <cfRule type="containsText" dxfId="428" priority="23" operator="containsText" text="En tiempo">
      <formula>NOT(ISERROR(SEARCH("En tiempo",S7)))</formula>
    </cfRule>
  </conditionalFormatting>
  <conditionalFormatting sqref="U7:U30">
    <cfRule type="cellIs" dxfId="427" priority="1" stopIfTrue="1" operator="between">
      <formula>0.8</formula>
      <formula>1</formula>
    </cfRule>
    <cfRule type="cellIs" dxfId="426" priority="2" stopIfTrue="1" operator="between">
      <formula>0.5</formula>
      <formula>0.79</formula>
    </cfRule>
    <cfRule type="cellIs" dxfId="425" priority="3" stopIfTrue="1" operator="between">
      <formula>0.3</formula>
      <formula>0.49</formula>
    </cfRule>
    <cfRule type="cellIs" dxfId="424" priority="4" stopIfTrue="1" operator="between">
      <formula>0</formula>
      <formula>0.29</formula>
    </cfRule>
  </conditionalFormatting>
  <conditionalFormatting sqref="V7:V29">
    <cfRule type="cellIs" dxfId="423" priority="16" operator="between">
      <formula>0.19</formula>
      <formula>0</formula>
    </cfRule>
    <cfRule type="cellIs" dxfId="422" priority="17" operator="between">
      <formula>0.49</formula>
      <formula>0.2</formula>
    </cfRule>
    <cfRule type="cellIs" dxfId="421" priority="18" operator="between">
      <formula>0.89</formula>
      <formula>0.5</formula>
    </cfRule>
    <cfRule type="cellIs" dxfId="420" priority="19" operator="between">
      <formula>1</formula>
      <formula>0.9</formula>
    </cfRule>
  </conditionalFormatting>
  <conditionalFormatting sqref="W7:W29">
    <cfRule type="containsText" dxfId="419" priority="20" operator="containsText" text="Incumple">
      <formula>NOT(ISERROR(SEARCH("Incumple",W7)))</formula>
    </cfRule>
    <cfRule type="containsText" dxfId="418" priority="21" operator="containsText" text="Cumple">
      <formula>NOT(ISERROR(SEARCH("Cumple",W7)))</formula>
    </cfRule>
  </conditionalFormatting>
  <conditionalFormatting sqref="W30">
    <cfRule type="cellIs" dxfId="417" priority="8" operator="between">
      <formula>0.19</formula>
      <formula>0</formula>
    </cfRule>
    <cfRule type="cellIs" dxfId="416" priority="9" operator="between">
      <formula>0.49</formula>
      <formula>0.2</formula>
    </cfRule>
    <cfRule type="cellIs" dxfId="415" priority="10" operator="between">
      <formula>0.89</formula>
      <formula>0.5</formula>
    </cfRule>
    <cfRule type="cellIs" dxfId="414" priority="11" operator="between">
      <formula>1</formula>
      <formula>0.9</formula>
    </cfRule>
  </conditionalFormatting>
  <conditionalFormatting sqref="AC30">
    <cfRule type="cellIs" dxfId="413" priority="5" operator="between">
      <formula>0.3</formula>
      <formula>0</formula>
    </cfRule>
    <cfRule type="cellIs" dxfId="412" priority="6" operator="between">
      <formula>0.6999</formula>
      <formula>0.3111</formula>
    </cfRule>
    <cfRule type="cellIs" dxfId="411" priority="7" operator="between">
      <formula>1</formula>
      <formula>0.7</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B1B8E-C10B-42A1-A076-3C0B21313F36}">
  <sheetPr>
    <tabColor theme="0"/>
  </sheetPr>
  <dimension ref="A1:AD29"/>
  <sheetViews>
    <sheetView zoomScale="25" zoomScaleNormal="25" workbookViewId="0">
      <selection activeCell="F7" sqref="F7"/>
    </sheetView>
  </sheetViews>
  <sheetFormatPr defaultColWidth="18.85546875" defaultRowHeight="12.75"/>
  <cols>
    <col min="1" max="2" width="10.5703125" customWidth="1"/>
    <col min="3" max="3" width="121.5703125" customWidth="1"/>
    <col min="4" max="4" width="41.5703125" customWidth="1"/>
    <col min="5" max="5" width="31.5703125" customWidth="1"/>
    <col min="6" max="6" width="55.28515625" customWidth="1"/>
    <col min="7" max="7" width="22.140625" customWidth="1"/>
    <col min="8" max="8" width="17.140625" customWidth="1"/>
    <col min="9" max="9" width="25.7109375" customWidth="1"/>
    <col min="10" max="10" width="18.85546875" customWidth="1"/>
    <col min="11" max="11" width="14.28515625" customWidth="1"/>
    <col min="12" max="12" width="20" customWidth="1"/>
    <col min="13" max="14" width="13.28515625" customWidth="1"/>
    <col min="15" max="15" width="13.42578125" customWidth="1"/>
    <col min="16" max="17" width="15.140625" customWidth="1"/>
    <col min="18" max="18" width="12.28515625" customWidth="1"/>
    <col min="19" max="19" width="9.7109375" customWidth="1"/>
    <col min="20" max="20" width="11.7109375" customWidth="1"/>
    <col min="21" max="21" width="13.28515625" customWidth="1"/>
    <col min="22" max="22" width="13" customWidth="1"/>
    <col min="23" max="23" width="14.5703125" customWidth="1"/>
    <col min="24" max="24" width="66.28515625" customWidth="1"/>
    <col min="25" max="25" width="57" customWidth="1"/>
    <col min="26" max="26" width="11.5703125" bestFit="1" customWidth="1"/>
    <col min="27" max="28" width="9.140625"/>
    <col min="29" max="29" width="18.85546875" customWidth="1"/>
    <col min="30" max="30" width="26.85546875" customWidth="1"/>
  </cols>
  <sheetData>
    <row r="1" spans="1:30" ht="57" customHeight="1" thickBot="1">
      <c r="A1" s="704" t="s">
        <v>0</v>
      </c>
      <c r="B1" s="704"/>
      <c r="C1" s="703" t="s">
        <v>155</v>
      </c>
      <c r="D1" s="703"/>
      <c r="E1" s="703"/>
      <c r="F1" s="703"/>
      <c r="G1" s="703"/>
      <c r="H1" s="703"/>
      <c r="I1" s="703"/>
      <c r="J1" s="703"/>
      <c r="K1" s="703"/>
      <c r="L1" s="703"/>
      <c r="M1" s="703"/>
      <c r="N1" s="703"/>
      <c r="O1" s="703"/>
      <c r="P1" s="703"/>
      <c r="Q1" s="703" t="s">
        <v>1</v>
      </c>
      <c r="R1" s="703"/>
      <c r="S1" s="703"/>
      <c r="T1" s="703"/>
      <c r="U1" s="703"/>
      <c r="V1" s="703"/>
      <c r="W1" s="703"/>
      <c r="X1" s="703"/>
      <c r="Y1" s="703"/>
      <c r="Z1" s="703" t="s">
        <v>1</v>
      </c>
      <c r="AA1" s="703"/>
      <c r="AB1" s="703"/>
      <c r="AC1" s="703"/>
      <c r="AD1" s="703"/>
    </row>
    <row r="2" spans="1:30" ht="22.5" customHeight="1" thickBot="1">
      <c r="A2" s="704" t="s">
        <v>2</v>
      </c>
      <c r="B2" s="704"/>
      <c r="C2" s="704" t="s">
        <v>3</v>
      </c>
      <c r="D2" s="705"/>
      <c r="E2" s="705"/>
      <c r="F2" s="705"/>
      <c r="G2" s="704" t="s">
        <v>4</v>
      </c>
      <c r="H2" s="704"/>
      <c r="I2" s="704" t="s">
        <v>5</v>
      </c>
      <c r="J2" s="704"/>
      <c r="K2" s="704"/>
      <c r="L2" s="704"/>
      <c r="M2" s="704"/>
      <c r="N2" s="704"/>
      <c r="O2" s="703"/>
      <c r="P2" s="703"/>
      <c r="Q2" s="703"/>
      <c r="R2" s="703"/>
      <c r="S2" s="703"/>
      <c r="T2" s="703"/>
      <c r="U2" s="703"/>
      <c r="V2" s="703"/>
      <c r="W2" s="703"/>
      <c r="X2" s="703"/>
      <c r="Y2" s="703"/>
      <c r="Z2" s="703"/>
      <c r="AA2" s="703"/>
      <c r="AB2" s="703"/>
      <c r="AC2" s="703"/>
      <c r="AD2" s="703"/>
    </row>
    <row r="3" spans="1:30" ht="36.75" customHeight="1" thickBot="1">
      <c r="A3" s="702" t="s">
        <v>6</v>
      </c>
      <c r="B3" s="702"/>
      <c r="C3" s="707" t="s">
        <v>423</v>
      </c>
      <c r="D3" s="707"/>
      <c r="E3" s="707"/>
      <c r="F3" s="707"/>
      <c r="G3" s="702" t="s">
        <v>8</v>
      </c>
      <c r="H3" s="702"/>
      <c r="I3" s="706">
        <v>43952</v>
      </c>
      <c r="J3" s="704"/>
      <c r="K3" s="704"/>
      <c r="L3" s="704"/>
      <c r="M3" s="704"/>
      <c r="N3" s="704"/>
      <c r="O3" s="702" t="s">
        <v>9</v>
      </c>
      <c r="P3" s="702"/>
      <c r="Q3" s="706">
        <v>45105</v>
      </c>
      <c r="R3" s="706"/>
      <c r="S3" s="706"/>
      <c r="T3" s="706"/>
      <c r="U3" s="706"/>
      <c r="V3" s="706"/>
      <c r="W3" s="702" t="s">
        <v>10</v>
      </c>
      <c r="X3" s="702"/>
      <c r="Y3" s="476" t="s">
        <v>11</v>
      </c>
      <c r="Z3" s="703"/>
      <c r="AA3" s="703"/>
      <c r="AB3" s="703"/>
      <c r="AC3" s="703"/>
      <c r="AD3" s="703"/>
    </row>
    <row r="4" spans="1:30" ht="33" customHeight="1" thickBot="1">
      <c r="A4" s="702" t="s">
        <v>12</v>
      </c>
      <c r="B4" s="702"/>
      <c r="C4" s="707" t="s">
        <v>424</v>
      </c>
      <c r="D4" s="707"/>
      <c r="E4" s="707"/>
      <c r="F4" s="707"/>
      <c r="G4" s="702" t="s">
        <v>14</v>
      </c>
      <c r="H4" s="702"/>
      <c r="I4" s="706">
        <v>44742</v>
      </c>
      <c r="J4" s="706"/>
      <c r="K4" s="706"/>
      <c r="L4" s="706"/>
      <c r="M4" s="706"/>
      <c r="N4" s="706"/>
      <c r="O4" s="702" t="s">
        <v>15</v>
      </c>
      <c r="P4" s="702"/>
      <c r="Q4" s="704" t="s">
        <v>16</v>
      </c>
      <c r="R4" s="704"/>
      <c r="S4" s="704"/>
      <c r="T4" s="710" t="s">
        <v>17</v>
      </c>
      <c r="U4" s="710"/>
      <c r="V4" s="704"/>
      <c r="W4" s="704"/>
      <c r="X4" s="704"/>
      <c r="Y4" s="704"/>
      <c r="Z4" s="703"/>
      <c r="AA4" s="703"/>
      <c r="AB4" s="703"/>
      <c r="AC4" s="703"/>
      <c r="AD4" s="703"/>
    </row>
    <row r="5" spans="1:30" ht="21" thickBot="1">
      <c r="A5" s="477" t="s">
        <v>18</v>
      </c>
      <c r="B5" s="477"/>
      <c r="C5" s="477"/>
      <c r="D5" s="477"/>
      <c r="E5" s="477"/>
      <c r="F5" s="477"/>
      <c r="G5" s="477"/>
      <c r="H5" s="477"/>
      <c r="I5" s="477"/>
      <c r="J5" s="477"/>
      <c r="K5" s="477"/>
      <c r="L5" s="477"/>
      <c r="M5" s="477"/>
      <c r="N5" s="477"/>
      <c r="O5" s="478" t="s">
        <v>19</v>
      </c>
      <c r="P5" s="478"/>
      <c r="Q5" s="478"/>
      <c r="R5" s="478"/>
      <c r="S5" s="478"/>
      <c r="T5" s="478"/>
      <c r="U5" s="478"/>
      <c r="V5" s="478"/>
      <c r="W5" s="478"/>
      <c r="X5" s="478"/>
      <c r="Y5" s="478"/>
      <c r="Z5" s="479" t="s">
        <v>20</v>
      </c>
      <c r="AA5" s="479"/>
      <c r="AB5" s="479"/>
      <c r="AC5" s="479"/>
      <c r="AD5" s="479"/>
    </row>
    <row r="6" spans="1:30" ht="111" thickBot="1">
      <c r="A6" s="480" t="s">
        <v>21</v>
      </c>
      <c r="B6" s="480" t="s">
        <v>22</v>
      </c>
      <c r="C6" s="480" t="s">
        <v>23</v>
      </c>
      <c r="D6" s="480" t="s">
        <v>24</v>
      </c>
      <c r="E6" s="480" t="s">
        <v>25</v>
      </c>
      <c r="F6" s="480" t="s">
        <v>26</v>
      </c>
      <c r="G6" s="480" t="s">
        <v>27</v>
      </c>
      <c r="H6" s="480" t="s">
        <v>28</v>
      </c>
      <c r="I6" s="480" t="s">
        <v>29</v>
      </c>
      <c r="J6" s="480" t="s">
        <v>30</v>
      </c>
      <c r="K6" s="480" t="s">
        <v>31</v>
      </c>
      <c r="L6" s="480" t="s">
        <v>32</v>
      </c>
      <c r="M6" s="480" t="s">
        <v>33</v>
      </c>
      <c r="N6" s="480" t="s">
        <v>34</v>
      </c>
      <c r="O6" s="481" t="s">
        <v>35</v>
      </c>
      <c r="P6" s="481" t="s">
        <v>36</v>
      </c>
      <c r="Q6" s="481" t="s">
        <v>37</v>
      </c>
      <c r="R6" s="481" t="s">
        <v>38</v>
      </c>
      <c r="S6" s="481" t="s">
        <v>39</v>
      </c>
      <c r="T6" s="481" t="s">
        <v>40</v>
      </c>
      <c r="U6" s="481" t="s">
        <v>41</v>
      </c>
      <c r="V6" s="481" t="s">
        <v>42</v>
      </c>
      <c r="W6" s="481" t="s">
        <v>43</v>
      </c>
      <c r="X6" s="481" t="s">
        <v>44</v>
      </c>
      <c r="Y6" s="481" t="s">
        <v>45</v>
      </c>
      <c r="Z6" s="482" t="s">
        <v>46</v>
      </c>
      <c r="AA6" s="482" t="s">
        <v>425</v>
      </c>
      <c r="AB6" s="482" t="s">
        <v>48</v>
      </c>
      <c r="AC6" s="482" t="s">
        <v>49</v>
      </c>
      <c r="AD6" s="482" t="s">
        <v>50</v>
      </c>
    </row>
    <row r="7" spans="1:30" ht="166.5" thickBot="1">
      <c r="A7" s="300" t="s">
        <v>51</v>
      </c>
      <c r="B7" s="300" t="s">
        <v>52</v>
      </c>
      <c r="C7" s="300" t="s">
        <v>426</v>
      </c>
      <c r="D7" s="300" t="s">
        <v>427</v>
      </c>
      <c r="E7" s="300" t="s">
        <v>428</v>
      </c>
      <c r="F7" s="300" t="s">
        <v>429</v>
      </c>
      <c r="G7" s="300" t="s">
        <v>430</v>
      </c>
      <c r="H7" s="300">
        <v>2</v>
      </c>
      <c r="I7" s="300" t="s">
        <v>431</v>
      </c>
      <c r="J7" s="300" t="s">
        <v>59</v>
      </c>
      <c r="K7" s="300" t="s">
        <v>60</v>
      </c>
      <c r="L7" s="300" t="s">
        <v>432</v>
      </c>
      <c r="M7" s="295">
        <v>43952</v>
      </c>
      <c r="N7" s="295">
        <v>44742</v>
      </c>
      <c r="O7" s="483">
        <f>(+N7-M7)/7</f>
        <v>112.85714285714286</v>
      </c>
      <c r="P7" s="484">
        <v>45282</v>
      </c>
      <c r="Q7" s="485"/>
      <c r="R7" s="486">
        <f>(P7-M7)/7-O7</f>
        <v>77.142857142857139</v>
      </c>
      <c r="S7" s="487" t="str">
        <f ca="1">IF((N7-TODAY())/7&gt;=0,"En tiempo","Alerta")</f>
        <v>Alerta</v>
      </c>
      <c r="T7" s="488">
        <v>0.6</v>
      </c>
      <c r="U7" s="190">
        <f>IF(T7/H7=1,1,+T7/H7)</f>
        <v>0.3</v>
      </c>
      <c r="V7" s="489">
        <f>IF(R7&gt;O7,0%,IF(R7&lt;=0,"100%",1-(R7/O7)))</f>
        <v>0.31645569620253167</v>
      </c>
      <c r="W7" s="490" t="str">
        <f>IF(P7&lt;=N7,"Cumple","Incumple")</f>
        <v>Incumple</v>
      </c>
      <c r="X7" s="491" t="s">
        <v>433</v>
      </c>
      <c r="Y7" s="492" t="s">
        <v>434</v>
      </c>
      <c r="Z7" s="341">
        <f>(U7+V7)/2</f>
        <v>0.3082278481012658</v>
      </c>
      <c r="AA7" s="485"/>
      <c r="AB7" s="485"/>
      <c r="AC7" s="341">
        <f>AVERAGE(Z7:AB7)</f>
        <v>0.3082278481012658</v>
      </c>
      <c r="AD7" s="485"/>
    </row>
    <row r="8" spans="1:30" ht="94.5">
      <c r="A8" s="300" t="s">
        <v>51</v>
      </c>
      <c r="B8" s="300" t="s">
        <v>52</v>
      </c>
      <c r="C8" s="300" t="s">
        <v>435</v>
      </c>
      <c r="D8" s="300" t="s">
        <v>436</v>
      </c>
      <c r="E8" s="300" t="s">
        <v>437</v>
      </c>
      <c r="F8" s="300" t="s">
        <v>438</v>
      </c>
      <c r="G8" s="300" t="s">
        <v>439</v>
      </c>
      <c r="H8" s="300">
        <v>2</v>
      </c>
      <c r="I8" s="300" t="s">
        <v>431</v>
      </c>
      <c r="J8" s="300" t="s">
        <v>59</v>
      </c>
      <c r="K8" s="300" t="s">
        <v>60</v>
      </c>
      <c r="L8" s="300" t="s">
        <v>440</v>
      </c>
      <c r="M8" s="295">
        <v>44470</v>
      </c>
      <c r="N8" s="295">
        <v>44742</v>
      </c>
      <c r="O8" s="483">
        <f t="shared" ref="O8:O28" si="0">(+N8-M8)/7</f>
        <v>38.857142857142854</v>
      </c>
      <c r="P8" s="484">
        <v>44754</v>
      </c>
      <c r="Q8" s="485"/>
      <c r="R8" s="486">
        <f t="shared" ref="R8:R28" si="1">(P8-M8)/7-O8</f>
        <v>1.7142857142857153</v>
      </c>
      <c r="S8" s="487" t="str">
        <f t="shared" ref="S8:S28" ca="1" si="2">IF((N8-TODAY())/7&gt;=0,"En tiempo","Alerta")</f>
        <v>Alerta</v>
      </c>
      <c r="T8" s="488">
        <v>2</v>
      </c>
      <c r="U8" s="190">
        <f t="shared" ref="U8:U28" si="3">IF(T8/H8=1,1,+T8/H8)</f>
        <v>1</v>
      </c>
      <c r="V8" s="489">
        <f t="shared" ref="V8:V28" si="4">IF(R8&gt;O8,0%,IF(R8&lt;=0,"100%",1-(R8/O8)))</f>
        <v>0.95588235294117641</v>
      </c>
      <c r="W8" s="490" t="str">
        <f t="shared" ref="W8:W28" si="5">IF(P8&lt;=N8,"Cumple","Incumple")</f>
        <v>Incumple</v>
      </c>
      <c r="X8" s="491" t="s">
        <v>441</v>
      </c>
      <c r="Y8" s="492" t="s">
        <v>442</v>
      </c>
      <c r="Z8" s="341">
        <f t="shared" ref="Z8:Z28" si="6">(U8+V8)/2</f>
        <v>0.9779411764705882</v>
      </c>
      <c r="AA8" s="485"/>
      <c r="AB8" s="485"/>
      <c r="AC8" s="341">
        <f>AVERAGE(Z8:AB8)</f>
        <v>0.9779411764705882</v>
      </c>
      <c r="AD8" s="493"/>
    </row>
    <row r="9" spans="1:30" ht="108.75" thickBot="1">
      <c r="A9" s="300" t="s">
        <v>51</v>
      </c>
      <c r="B9" s="300" t="s">
        <v>52</v>
      </c>
      <c r="C9" s="300" t="s">
        <v>443</v>
      </c>
      <c r="D9" s="300" t="s">
        <v>444</v>
      </c>
      <c r="E9" s="300" t="s">
        <v>445</v>
      </c>
      <c r="F9" s="300" t="s">
        <v>446</v>
      </c>
      <c r="G9" s="300" t="s">
        <v>447</v>
      </c>
      <c r="H9" s="300">
        <v>1</v>
      </c>
      <c r="I9" s="300" t="s">
        <v>431</v>
      </c>
      <c r="J9" s="300" t="s">
        <v>59</v>
      </c>
      <c r="K9" s="300" t="s">
        <v>60</v>
      </c>
      <c r="L9" s="300" t="s">
        <v>448</v>
      </c>
      <c r="M9" s="295">
        <v>44471</v>
      </c>
      <c r="N9" s="295">
        <v>44743</v>
      </c>
      <c r="O9" s="483">
        <f t="shared" si="0"/>
        <v>38.857142857142854</v>
      </c>
      <c r="P9" s="484">
        <v>45282</v>
      </c>
      <c r="Q9" s="485"/>
      <c r="R9" s="486">
        <f t="shared" si="1"/>
        <v>77</v>
      </c>
      <c r="S9" s="487" t="str">
        <f t="shared" ca="1" si="2"/>
        <v>Alerta</v>
      </c>
      <c r="T9" s="488">
        <v>0.3</v>
      </c>
      <c r="U9" s="190">
        <f t="shared" si="3"/>
        <v>0.3</v>
      </c>
      <c r="V9" s="489">
        <f t="shared" si="4"/>
        <v>0</v>
      </c>
      <c r="W9" s="490" t="str">
        <f t="shared" si="5"/>
        <v>Incumple</v>
      </c>
      <c r="X9" s="491" t="s">
        <v>61</v>
      </c>
      <c r="Y9" s="492" t="s">
        <v>449</v>
      </c>
      <c r="Z9" s="341">
        <f t="shared" si="6"/>
        <v>0.15</v>
      </c>
      <c r="AA9" s="485"/>
      <c r="AB9" s="485"/>
      <c r="AC9" s="341">
        <f t="shared" ref="AC9:AC28" si="7">AVERAGE(Z9:AB9)</f>
        <v>0.15</v>
      </c>
      <c r="AD9" s="493"/>
    </row>
    <row r="10" spans="1:30" ht="408.75" customHeight="1" thickBot="1">
      <c r="A10" s="300" t="s">
        <v>51</v>
      </c>
      <c r="B10" s="300" t="s">
        <v>52</v>
      </c>
      <c r="C10" s="300" t="s">
        <v>450</v>
      </c>
      <c r="D10" s="300" t="s">
        <v>451</v>
      </c>
      <c r="E10" s="300" t="s">
        <v>452</v>
      </c>
      <c r="F10" s="300" t="s">
        <v>453</v>
      </c>
      <c r="G10" s="300" t="s">
        <v>454</v>
      </c>
      <c r="H10" s="300">
        <v>12</v>
      </c>
      <c r="I10" s="300" t="s">
        <v>431</v>
      </c>
      <c r="J10" s="300" t="s">
        <v>59</v>
      </c>
      <c r="K10" s="300" t="s">
        <v>60</v>
      </c>
      <c r="L10" s="300" t="s">
        <v>455</v>
      </c>
      <c r="M10" s="295">
        <v>43952</v>
      </c>
      <c r="N10" s="295">
        <v>44744</v>
      </c>
      <c r="O10" s="483">
        <f t="shared" si="0"/>
        <v>113.14285714285714</v>
      </c>
      <c r="P10" s="484">
        <v>45282</v>
      </c>
      <c r="Q10" s="485"/>
      <c r="R10" s="486">
        <f t="shared" si="1"/>
        <v>76.857142857142861</v>
      </c>
      <c r="S10" s="487" t="str">
        <f t="shared" ca="1" si="2"/>
        <v>Alerta</v>
      </c>
      <c r="T10" s="488">
        <v>10</v>
      </c>
      <c r="U10" s="190">
        <f t="shared" si="3"/>
        <v>0.83333333333333337</v>
      </c>
      <c r="V10" s="489">
        <f t="shared" si="4"/>
        <v>0.32070707070707061</v>
      </c>
      <c r="W10" s="490" t="str">
        <f t="shared" si="5"/>
        <v>Incumple</v>
      </c>
      <c r="X10" s="566" t="s">
        <v>456</v>
      </c>
      <c r="Y10" s="293" t="s">
        <v>457</v>
      </c>
      <c r="Z10" s="341">
        <f t="shared" si="6"/>
        <v>0.57702020202020199</v>
      </c>
      <c r="AA10" s="485"/>
      <c r="AB10" s="485"/>
      <c r="AC10" s="341">
        <f t="shared" si="7"/>
        <v>0.57702020202020199</v>
      </c>
      <c r="AD10" s="493"/>
    </row>
    <row r="11" spans="1:30" ht="233.25" customHeight="1">
      <c r="A11" s="300" t="s">
        <v>51</v>
      </c>
      <c r="B11" s="300" t="s">
        <v>52</v>
      </c>
      <c r="C11" s="300" t="s">
        <v>458</v>
      </c>
      <c r="D11" s="300" t="s">
        <v>459</v>
      </c>
      <c r="E11" s="300" t="s">
        <v>460</v>
      </c>
      <c r="F11" s="300" t="s">
        <v>461</v>
      </c>
      <c r="G11" s="300" t="s">
        <v>462</v>
      </c>
      <c r="H11" s="300">
        <v>2</v>
      </c>
      <c r="I11" s="300" t="s">
        <v>431</v>
      </c>
      <c r="J11" s="300" t="s">
        <v>59</v>
      </c>
      <c r="K11" s="300" t="s">
        <v>60</v>
      </c>
      <c r="L11" s="300" t="s">
        <v>440</v>
      </c>
      <c r="M11" s="295">
        <v>43952</v>
      </c>
      <c r="N11" s="295">
        <v>44745</v>
      </c>
      <c r="O11" s="483">
        <f t="shared" si="0"/>
        <v>113.28571428571429</v>
      </c>
      <c r="P11" s="484">
        <v>45282</v>
      </c>
      <c r="Q11" s="485"/>
      <c r="R11" s="486">
        <f t="shared" si="1"/>
        <v>76.714285714285708</v>
      </c>
      <c r="S11" s="487" t="str">
        <f t="shared" ca="1" si="2"/>
        <v>Alerta</v>
      </c>
      <c r="T11" s="488">
        <v>2</v>
      </c>
      <c r="U11" s="190">
        <f t="shared" si="3"/>
        <v>1</v>
      </c>
      <c r="V11" s="489">
        <f t="shared" si="4"/>
        <v>0.32282471626733933</v>
      </c>
      <c r="W11" s="490" t="str">
        <f t="shared" si="5"/>
        <v>Incumple</v>
      </c>
      <c r="X11" s="617" t="s">
        <v>463</v>
      </c>
      <c r="Y11" s="269" t="s">
        <v>464</v>
      </c>
      <c r="Z11" s="341">
        <f t="shared" si="6"/>
        <v>0.66141235813366972</v>
      </c>
      <c r="AA11" s="485"/>
      <c r="AB11" s="485"/>
      <c r="AC11" s="341">
        <f t="shared" si="7"/>
        <v>0.66141235813366972</v>
      </c>
      <c r="AD11" s="493"/>
    </row>
    <row r="12" spans="1:30" ht="136.5" customHeight="1">
      <c r="A12" s="300" t="s">
        <v>51</v>
      </c>
      <c r="B12" s="300" t="s">
        <v>52</v>
      </c>
      <c r="C12" s="300" t="s">
        <v>465</v>
      </c>
      <c r="D12" s="300" t="s">
        <v>466</v>
      </c>
      <c r="E12" s="300" t="s">
        <v>460</v>
      </c>
      <c r="F12" s="300" t="s">
        <v>467</v>
      </c>
      <c r="G12" s="300" t="s">
        <v>462</v>
      </c>
      <c r="H12" s="300">
        <v>1</v>
      </c>
      <c r="I12" s="300" t="s">
        <v>431</v>
      </c>
      <c r="J12" s="300" t="s">
        <v>59</v>
      </c>
      <c r="K12" s="300" t="s">
        <v>60</v>
      </c>
      <c r="L12" s="300" t="s">
        <v>440</v>
      </c>
      <c r="M12" s="295">
        <v>44470</v>
      </c>
      <c r="N12" s="295">
        <v>44746</v>
      </c>
      <c r="O12" s="483">
        <f t="shared" si="0"/>
        <v>39.428571428571431</v>
      </c>
      <c r="P12" s="484">
        <v>45282</v>
      </c>
      <c r="Q12" s="485"/>
      <c r="R12" s="486">
        <f t="shared" si="1"/>
        <v>76.571428571428569</v>
      </c>
      <c r="S12" s="487" t="str">
        <f t="shared" ca="1" si="2"/>
        <v>Alerta</v>
      </c>
      <c r="T12" s="488">
        <v>1</v>
      </c>
      <c r="U12" s="190">
        <f t="shared" si="3"/>
        <v>1</v>
      </c>
      <c r="V12" s="489">
        <f t="shared" si="4"/>
        <v>0</v>
      </c>
      <c r="W12" s="490" t="str">
        <f t="shared" si="5"/>
        <v>Incumple</v>
      </c>
      <c r="X12" s="618" t="s">
        <v>468</v>
      </c>
      <c r="Y12" s="269" t="s">
        <v>464</v>
      </c>
      <c r="Z12" s="341">
        <f t="shared" si="6"/>
        <v>0.5</v>
      </c>
      <c r="AA12" s="485"/>
      <c r="AB12" s="485"/>
      <c r="AC12" s="341">
        <f t="shared" si="7"/>
        <v>0.5</v>
      </c>
      <c r="AD12" s="493"/>
    </row>
    <row r="13" spans="1:30" ht="245.25">
      <c r="A13" s="300" t="s">
        <v>51</v>
      </c>
      <c r="B13" s="300" t="s">
        <v>52</v>
      </c>
      <c r="C13" s="300" t="s">
        <v>469</v>
      </c>
      <c r="D13" s="300" t="s">
        <v>470</v>
      </c>
      <c r="E13" s="300" t="s">
        <v>471</v>
      </c>
      <c r="F13" s="300" t="s">
        <v>472</v>
      </c>
      <c r="G13" s="300" t="s">
        <v>473</v>
      </c>
      <c r="H13" s="300">
        <v>1</v>
      </c>
      <c r="I13" s="300" t="s">
        <v>431</v>
      </c>
      <c r="J13" s="300" t="s">
        <v>59</v>
      </c>
      <c r="K13" s="300" t="s">
        <v>60</v>
      </c>
      <c r="L13" s="300" t="s">
        <v>474</v>
      </c>
      <c r="M13" s="295">
        <v>43952</v>
      </c>
      <c r="N13" s="295">
        <v>44747</v>
      </c>
      <c r="O13" s="483">
        <f t="shared" si="0"/>
        <v>113.57142857142857</v>
      </c>
      <c r="P13" s="484">
        <v>45282</v>
      </c>
      <c r="Q13" s="484">
        <v>45282</v>
      </c>
      <c r="R13" s="486">
        <f t="shared" si="1"/>
        <v>76.428571428571431</v>
      </c>
      <c r="S13" s="487" t="str">
        <f t="shared" ca="1" si="2"/>
        <v>Alerta</v>
      </c>
      <c r="T13" s="488">
        <v>0.9</v>
      </c>
      <c r="U13" s="190">
        <f t="shared" si="3"/>
        <v>0.9</v>
      </c>
      <c r="V13" s="489">
        <f t="shared" si="4"/>
        <v>0.32704402515723263</v>
      </c>
      <c r="W13" s="490" t="str">
        <f t="shared" si="5"/>
        <v>Incumple</v>
      </c>
      <c r="X13" s="618" t="s">
        <v>475</v>
      </c>
      <c r="Y13" s="269" t="s">
        <v>476</v>
      </c>
      <c r="Z13" s="341">
        <f t="shared" si="6"/>
        <v>0.61352201257861627</v>
      </c>
      <c r="AA13" s="485"/>
      <c r="AB13" s="485"/>
      <c r="AC13" s="341">
        <f t="shared" si="7"/>
        <v>0.61352201257861627</v>
      </c>
      <c r="AD13" s="493"/>
    </row>
    <row r="14" spans="1:30" ht="245.25" customHeight="1">
      <c r="A14" s="300" t="s">
        <v>51</v>
      </c>
      <c r="B14" s="300" t="s">
        <v>52</v>
      </c>
      <c r="C14" s="300" t="s">
        <v>477</v>
      </c>
      <c r="D14" s="300" t="s">
        <v>478</v>
      </c>
      <c r="E14" s="300" t="s">
        <v>479</v>
      </c>
      <c r="F14" s="300" t="s">
        <v>480</v>
      </c>
      <c r="G14" s="300" t="s">
        <v>481</v>
      </c>
      <c r="H14" s="300">
        <v>1</v>
      </c>
      <c r="I14" s="300" t="s">
        <v>431</v>
      </c>
      <c r="J14" s="300" t="s">
        <v>59</v>
      </c>
      <c r="K14" s="300" t="s">
        <v>60</v>
      </c>
      <c r="L14" s="300" t="s">
        <v>482</v>
      </c>
      <c r="M14" s="295">
        <v>44470</v>
      </c>
      <c r="N14" s="295">
        <v>44748</v>
      </c>
      <c r="O14" s="483">
        <f t="shared" si="0"/>
        <v>39.714285714285715</v>
      </c>
      <c r="P14" s="484">
        <v>45105</v>
      </c>
      <c r="Q14" s="485"/>
      <c r="R14" s="486">
        <f t="shared" si="1"/>
        <v>50.999999999999993</v>
      </c>
      <c r="S14" s="487" t="str">
        <f t="shared" ca="1" si="2"/>
        <v>Alerta</v>
      </c>
      <c r="T14" s="488">
        <v>1</v>
      </c>
      <c r="U14" s="190">
        <f t="shared" si="3"/>
        <v>1</v>
      </c>
      <c r="V14" s="489">
        <f t="shared" si="4"/>
        <v>0</v>
      </c>
      <c r="W14" s="490" t="str">
        <f t="shared" si="5"/>
        <v>Incumple</v>
      </c>
      <c r="X14" s="619" t="s">
        <v>483</v>
      </c>
      <c r="Y14" s="620" t="s">
        <v>484</v>
      </c>
      <c r="Z14" s="341">
        <f t="shared" si="6"/>
        <v>0.5</v>
      </c>
      <c r="AA14" s="485"/>
      <c r="AB14" s="485"/>
      <c r="AC14" s="341">
        <f t="shared" si="7"/>
        <v>0.5</v>
      </c>
      <c r="AD14" s="493"/>
    </row>
    <row r="15" spans="1:30" ht="174.75">
      <c r="A15" s="300" t="s">
        <v>51</v>
      </c>
      <c r="B15" s="300" t="s">
        <v>52</v>
      </c>
      <c r="C15" s="300" t="s">
        <v>485</v>
      </c>
      <c r="D15" s="300" t="s">
        <v>486</v>
      </c>
      <c r="E15" s="300" t="s">
        <v>487</v>
      </c>
      <c r="F15" s="300" t="s">
        <v>488</v>
      </c>
      <c r="G15" s="300" t="s">
        <v>489</v>
      </c>
      <c r="H15" s="300">
        <v>2</v>
      </c>
      <c r="I15" s="300" t="s">
        <v>431</v>
      </c>
      <c r="J15" s="300" t="s">
        <v>59</v>
      </c>
      <c r="K15" s="300" t="s">
        <v>60</v>
      </c>
      <c r="L15" s="300" t="s">
        <v>490</v>
      </c>
      <c r="M15" s="295">
        <v>43952</v>
      </c>
      <c r="N15" s="295">
        <v>44749</v>
      </c>
      <c r="O15" s="483">
        <f t="shared" si="0"/>
        <v>113.85714285714286</v>
      </c>
      <c r="P15" s="484">
        <v>44754</v>
      </c>
      <c r="Q15" s="485"/>
      <c r="R15" s="486">
        <f t="shared" si="1"/>
        <v>0.7142857142857082</v>
      </c>
      <c r="S15" s="487" t="str">
        <f t="shared" ca="1" si="2"/>
        <v>Alerta</v>
      </c>
      <c r="T15" s="488">
        <v>2</v>
      </c>
      <c r="U15" s="190">
        <f t="shared" si="3"/>
        <v>1</v>
      </c>
      <c r="V15" s="489">
        <f t="shared" si="4"/>
        <v>0.99372647427854455</v>
      </c>
      <c r="W15" s="490" t="str">
        <f t="shared" si="5"/>
        <v>Incumple</v>
      </c>
      <c r="X15" s="619" t="s">
        <v>491</v>
      </c>
      <c r="Y15" s="620" t="s">
        <v>492</v>
      </c>
      <c r="Z15" s="341">
        <f t="shared" si="6"/>
        <v>0.99686323713927227</v>
      </c>
      <c r="AA15" s="485"/>
      <c r="AB15" s="485"/>
      <c r="AC15" s="341">
        <f t="shared" si="7"/>
        <v>0.99686323713927227</v>
      </c>
      <c r="AD15" s="493"/>
    </row>
    <row r="16" spans="1:30" ht="101.25">
      <c r="A16" s="300" t="s">
        <v>51</v>
      </c>
      <c r="B16" s="300" t="s">
        <v>52</v>
      </c>
      <c r="C16" s="300" t="s">
        <v>493</v>
      </c>
      <c r="D16" s="300" t="s">
        <v>494</v>
      </c>
      <c r="E16" s="300" t="s">
        <v>495</v>
      </c>
      <c r="F16" s="300" t="s">
        <v>496</v>
      </c>
      <c r="G16" s="300" t="s">
        <v>497</v>
      </c>
      <c r="H16" s="300">
        <v>1</v>
      </c>
      <c r="I16" s="300" t="s">
        <v>431</v>
      </c>
      <c r="J16" s="300" t="s">
        <v>59</v>
      </c>
      <c r="K16" s="300" t="s">
        <v>60</v>
      </c>
      <c r="L16" s="300" t="s">
        <v>498</v>
      </c>
      <c r="M16" s="295">
        <v>44470</v>
      </c>
      <c r="N16" s="295">
        <v>44750</v>
      </c>
      <c r="O16" s="483">
        <f t="shared" si="0"/>
        <v>40</v>
      </c>
      <c r="P16" s="484">
        <v>44754</v>
      </c>
      <c r="Q16" s="484">
        <v>44742</v>
      </c>
      <c r="R16" s="486">
        <f t="shared" si="1"/>
        <v>0.5714285714285694</v>
      </c>
      <c r="S16" s="487" t="str">
        <f t="shared" ca="1" si="2"/>
        <v>Alerta</v>
      </c>
      <c r="T16" s="488">
        <v>1</v>
      </c>
      <c r="U16" s="190">
        <f t="shared" si="3"/>
        <v>1</v>
      </c>
      <c r="V16" s="489">
        <f t="shared" si="4"/>
        <v>0.98571428571428577</v>
      </c>
      <c r="W16" s="490" t="str">
        <f t="shared" si="5"/>
        <v>Incumple</v>
      </c>
      <c r="X16" s="619" t="s">
        <v>61</v>
      </c>
      <c r="Y16" s="620" t="s">
        <v>499</v>
      </c>
      <c r="Z16" s="341">
        <f t="shared" si="6"/>
        <v>0.99285714285714288</v>
      </c>
      <c r="AA16" s="485"/>
      <c r="AB16" s="485"/>
      <c r="AC16" s="341">
        <f t="shared" si="7"/>
        <v>0.99285714285714288</v>
      </c>
      <c r="AD16" s="493"/>
    </row>
    <row r="17" spans="1:30" ht="150" customHeight="1">
      <c r="A17" s="300" t="s">
        <v>51</v>
      </c>
      <c r="B17" s="300" t="s">
        <v>52</v>
      </c>
      <c r="C17" s="300" t="s">
        <v>500</v>
      </c>
      <c r="D17" s="300" t="s">
        <v>501</v>
      </c>
      <c r="E17" s="300" t="s">
        <v>502</v>
      </c>
      <c r="F17" s="300" t="s">
        <v>503</v>
      </c>
      <c r="G17" s="300" t="s">
        <v>504</v>
      </c>
      <c r="H17" s="300">
        <v>1</v>
      </c>
      <c r="I17" s="300" t="s">
        <v>431</v>
      </c>
      <c r="J17" s="300" t="s">
        <v>59</v>
      </c>
      <c r="K17" s="300" t="s">
        <v>60</v>
      </c>
      <c r="L17" s="300" t="s">
        <v>505</v>
      </c>
      <c r="M17" s="295">
        <v>43952</v>
      </c>
      <c r="N17" s="295">
        <v>44751</v>
      </c>
      <c r="O17" s="483">
        <f t="shared" si="0"/>
        <v>114.14285714285714</v>
      </c>
      <c r="P17" s="484">
        <v>45282</v>
      </c>
      <c r="Q17" s="485"/>
      <c r="R17" s="486">
        <f t="shared" si="1"/>
        <v>75.857142857142861</v>
      </c>
      <c r="S17" s="487" t="str">
        <f t="shared" ca="1" si="2"/>
        <v>Alerta</v>
      </c>
      <c r="T17" s="488">
        <v>0.8</v>
      </c>
      <c r="U17" s="190">
        <f t="shared" si="3"/>
        <v>0.8</v>
      </c>
      <c r="V17" s="489">
        <f t="shared" si="4"/>
        <v>0.33541927409261574</v>
      </c>
      <c r="W17" s="490" t="str">
        <f t="shared" si="5"/>
        <v>Incumple</v>
      </c>
      <c r="X17" s="617" t="s">
        <v>506</v>
      </c>
      <c r="Y17" s="269" t="s">
        <v>507</v>
      </c>
      <c r="Z17" s="341">
        <f t="shared" si="6"/>
        <v>0.56770963704630795</v>
      </c>
      <c r="AA17" s="485"/>
      <c r="AB17" s="485"/>
      <c r="AC17" s="341">
        <f t="shared" si="7"/>
        <v>0.56770963704630795</v>
      </c>
      <c r="AD17" s="493"/>
    </row>
    <row r="18" spans="1:30" ht="130.5">
      <c r="A18" s="300" t="s">
        <v>51</v>
      </c>
      <c r="B18" s="300" t="s">
        <v>52</v>
      </c>
      <c r="C18" s="300" t="s">
        <v>508</v>
      </c>
      <c r="D18" s="300" t="s">
        <v>509</v>
      </c>
      <c r="E18" s="300" t="s">
        <v>510</v>
      </c>
      <c r="F18" s="300" t="s">
        <v>511</v>
      </c>
      <c r="G18" s="300" t="s">
        <v>512</v>
      </c>
      <c r="H18" s="300">
        <v>1</v>
      </c>
      <c r="I18" s="300" t="s">
        <v>431</v>
      </c>
      <c r="J18" s="300" t="s">
        <v>59</v>
      </c>
      <c r="K18" s="300" t="s">
        <v>60</v>
      </c>
      <c r="L18" s="300" t="s">
        <v>513</v>
      </c>
      <c r="M18" s="295">
        <v>44470</v>
      </c>
      <c r="N18" s="295">
        <v>44752</v>
      </c>
      <c r="O18" s="483">
        <f t="shared" si="0"/>
        <v>40.285714285714285</v>
      </c>
      <c r="P18" s="484">
        <v>44754</v>
      </c>
      <c r="Q18" s="484">
        <v>44742</v>
      </c>
      <c r="R18" s="486">
        <f t="shared" si="1"/>
        <v>0.2857142857142847</v>
      </c>
      <c r="S18" s="487" t="str">
        <f t="shared" ca="1" si="2"/>
        <v>Alerta</v>
      </c>
      <c r="T18" s="488">
        <v>1</v>
      </c>
      <c r="U18" s="190">
        <f t="shared" si="3"/>
        <v>1</v>
      </c>
      <c r="V18" s="489">
        <f t="shared" si="4"/>
        <v>0.99290780141843971</v>
      </c>
      <c r="W18" s="490" t="str">
        <f t="shared" si="5"/>
        <v>Incumple</v>
      </c>
      <c r="X18" s="621" t="s">
        <v>514</v>
      </c>
      <c r="Y18" s="269" t="s">
        <v>515</v>
      </c>
      <c r="Z18" s="341">
        <f t="shared" si="6"/>
        <v>0.99645390070921991</v>
      </c>
      <c r="AA18" s="485"/>
      <c r="AB18" s="485"/>
      <c r="AC18" s="341">
        <f t="shared" si="7"/>
        <v>0.99645390070921991</v>
      </c>
      <c r="AD18" s="493"/>
    </row>
    <row r="19" spans="1:30" ht="67.5">
      <c r="A19" s="300" t="s">
        <v>51</v>
      </c>
      <c r="B19" s="300" t="s">
        <v>52</v>
      </c>
      <c r="C19" s="300" t="s">
        <v>516</v>
      </c>
      <c r="D19" s="300" t="s">
        <v>517</v>
      </c>
      <c r="E19" s="300" t="s">
        <v>510</v>
      </c>
      <c r="F19" s="300" t="s">
        <v>518</v>
      </c>
      <c r="G19" s="300" t="s">
        <v>512</v>
      </c>
      <c r="H19" s="300">
        <v>1</v>
      </c>
      <c r="I19" s="300" t="s">
        <v>431</v>
      </c>
      <c r="J19" s="300" t="s">
        <v>59</v>
      </c>
      <c r="K19" s="300" t="s">
        <v>60</v>
      </c>
      <c r="L19" s="300" t="s">
        <v>513</v>
      </c>
      <c r="M19" s="295">
        <v>44470</v>
      </c>
      <c r="N19" s="295">
        <v>44753</v>
      </c>
      <c r="O19" s="483">
        <f t="shared" si="0"/>
        <v>40.428571428571431</v>
      </c>
      <c r="P19" s="484">
        <v>44754</v>
      </c>
      <c r="Q19" s="484">
        <v>44742</v>
      </c>
      <c r="R19" s="486">
        <f t="shared" si="1"/>
        <v>0.1428571428571388</v>
      </c>
      <c r="S19" s="487" t="str">
        <f t="shared" ca="1" si="2"/>
        <v>Alerta</v>
      </c>
      <c r="T19" s="488">
        <v>1</v>
      </c>
      <c r="U19" s="190">
        <f t="shared" si="3"/>
        <v>1</v>
      </c>
      <c r="V19" s="489">
        <f t="shared" si="4"/>
        <v>0.99646643109540645</v>
      </c>
      <c r="W19" s="490" t="str">
        <f t="shared" si="5"/>
        <v>Incumple</v>
      </c>
      <c r="X19" s="619" t="s">
        <v>61</v>
      </c>
      <c r="Y19" s="620" t="s">
        <v>515</v>
      </c>
      <c r="Z19" s="341">
        <f t="shared" si="6"/>
        <v>0.99823321554770317</v>
      </c>
      <c r="AA19" s="485"/>
      <c r="AB19" s="485"/>
      <c r="AC19" s="341">
        <f t="shared" si="7"/>
        <v>0.99823321554770317</v>
      </c>
      <c r="AD19" s="493"/>
    </row>
    <row r="20" spans="1:30" ht="173.25">
      <c r="A20" s="300" t="s">
        <v>51</v>
      </c>
      <c r="B20" s="300" t="s">
        <v>52</v>
      </c>
      <c r="C20" s="300" t="s">
        <v>519</v>
      </c>
      <c r="D20" s="300" t="s">
        <v>520</v>
      </c>
      <c r="E20" s="300" t="s">
        <v>521</v>
      </c>
      <c r="F20" s="300" t="s">
        <v>522</v>
      </c>
      <c r="G20" s="300" t="s">
        <v>523</v>
      </c>
      <c r="H20" s="300">
        <v>1</v>
      </c>
      <c r="I20" s="300" t="s">
        <v>431</v>
      </c>
      <c r="J20" s="300" t="s">
        <v>59</v>
      </c>
      <c r="K20" s="300" t="s">
        <v>60</v>
      </c>
      <c r="L20" s="300" t="s">
        <v>524</v>
      </c>
      <c r="M20" s="295">
        <v>43952</v>
      </c>
      <c r="N20" s="295">
        <v>44754</v>
      </c>
      <c r="O20" s="483">
        <f t="shared" si="0"/>
        <v>114.57142857142857</v>
      </c>
      <c r="P20" s="484">
        <v>44754</v>
      </c>
      <c r="Q20" s="485"/>
      <c r="R20" s="486">
        <f t="shared" si="1"/>
        <v>0</v>
      </c>
      <c r="S20" s="487" t="str">
        <f t="shared" ca="1" si="2"/>
        <v>Alerta</v>
      </c>
      <c r="T20" s="488">
        <v>1</v>
      </c>
      <c r="U20" s="190">
        <f t="shared" si="3"/>
        <v>1</v>
      </c>
      <c r="V20" s="489" t="str">
        <f t="shared" si="4"/>
        <v>100%</v>
      </c>
      <c r="W20" s="490" t="str">
        <f t="shared" si="5"/>
        <v>Cumple</v>
      </c>
      <c r="X20" s="621" t="s">
        <v>525</v>
      </c>
      <c r="Y20" s="269" t="s">
        <v>526</v>
      </c>
      <c r="Z20" s="341">
        <f t="shared" si="6"/>
        <v>1</v>
      </c>
      <c r="AA20" s="485"/>
      <c r="AB20" s="485"/>
      <c r="AC20" s="341">
        <f t="shared" si="7"/>
        <v>1</v>
      </c>
      <c r="AD20" s="493"/>
    </row>
    <row r="21" spans="1:30" ht="168.75" customHeight="1">
      <c r="A21" s="300" t="s">
        <v>51</v>
      </c>
      <c r="B21" s="300" t="s">
        <v>52</v>
      </c>
      <c r="C21" s="300" t="s">
        <v>527</v>
      </c>
      <c r="D21" s="300" t="s">
        <v>528</v>
      </c>
      <c r="E21" s="300" t="s">
        <v>521</v>
      </c>
      <c r="F21" s="300" t="s">
        <v>529</v>
      </c>
      <c r="G21" s="300" t="s">
        <v>523</v>
      </c>
      <c r="H21" s="300">
        <v>1</v>
      </c>
      <c r="I21" s="300" t="s">
        <v>431</v>
      </c>
      <c r="J21" s="300" t="s">
        <v>59</v>
      </c>
      <c r="K21" s="300" t="s">
        <v>60</v>
      </c>
      <c r="L21" s="300" t="s">
        <v>524</v>
      </c>
      <c r="M21" s="295">
        <v>43952</v>
      </c>
      <c r="N21" s="295">
        <v>44755</v>
      </c>
      <c r="O21" s="483">
        <f t="shared" si="0"/>
        <v>114.71428571428571</v>
      </c>
      <c r="P21" s="484">
        <v>44754</v>
      </c>
      <c r="Q21" s="485"/>
      <c r="R21" s="486">
        <f t="shared" si="1"/>
        <v>-0.1428571428571388</v>
      </c>
      <c r="S21" s="487" t="str">
        <f t="shared" ca="1" si="2"/>
        <v>Alerta</v>
      </c>
      <c r="T21" s="488">
        <v>1</v>
      </c>
      <c r="U21" s="190">
        <f t="shared" si="3"/>
        <v>1</v>
      </c>
      <c r="V21" s="489" t="str">
        <f t="shared" si="4"/>
        <v>100%</v>
      </c>
      <c r="W21" s="490" t="str">
        <f t="shared" si="5"/>
        <v>Cumple</v>
      </c>
      <c r="X21" s="621" t="s">
        <v>530</v>
      </c>
      <c r="Y21" s="269" t="s">
        <v>526</v>
      </c>
      <c r="Z21" s="341">
        <f t="shared" si="6"/>
        <v>1</v>
      </c>
      <c r="AA21" s="485"/>
      <c r="AB21" s="485"/>
      <c r="AC21" s="341">
        <f t="shared" si="7"/>
        <v>1</v>
      </c>
      <c r="AD21" s="493"/>
    </row>
    <row r="22" spans="1:30" ht="390.75">
      <c r="A22" s="300" t="s">
        <v>51</v>
      </c>
      <c r="B22" s="300" t="s">
        <v>52</v>
      </c>
      <c r="C22" s="300" t="s">
        <v>531</v>
      </c>
      <c r="D22" s="300" t="s">
        <v>532</v>
      </c>
      <c r="E22" s="300" t="s">
        <v>533</v>
      </c>
      <c r="F22" s="300" t="s">
        <v>534</v>
      </c>
      <c r="G22" s="300" t="s">
        <v>535</v>
      </c>
      <c r="H22" s="300">
        <v>1</v>
      </c>
      <c r="I22" s="300" t="s">
        <v>431</v>
      </c>
      <c r="J22" s="300" t="s">
        <v>59</v>
      </c>
      <c r="K22" s="300" t="s">
        <v>60</v>
      </c>
      <c r="L22" s="300" t="s">
        <v>536</v>
      </c>
      <c r="M22" s="295">
        <v>44470</v>
      </c>
      <c r="N22" s="295">
        <v>44742</v>
      </c>
      <c r="O22" s="483">
        <f t="shared" si="0"/>
        <v>38.857142857142854</v>
      </c>
      <c r="P22" s="484">
        <v>44754</v>
      </c>
      <c r="Q22" s="485"/>
      <c r="R22" s="486">
        <f t="shared" si="1"/>
        <v>1.7142857142857153</v>
      </c>
      <c r="S22" s="487" t="str">
        <f t="shared" ca="1" si="2"/>
        <v>Alerta</v>
      </c>
      <c r="T22" s="488">
        <v>1</v>
      </c>
      <c r="U22" s="190">
        <f t="shared" si="3"/>
        <v>1</v>
      </c>
      <c r="V22" s="489">
        <f t="shared" si="4"/>
        <v>0.95588235294117641</v>
      </c>
      <c r="W22" s="490" t="str">
        <f t="shared" si="5"/>
        <v>Incumple</v>
      </c>
      <c r="X22" s="622" t="s">
        <v>537</v>
      </c>
      <c r="Y22" s="620" t="s">
        <v>538</v>
      </c>
      <c r="Z22" s="341">
        <f t="shared" si="6"/>
        <v>0.9779411764705882</v>
      </c>
      <c r="AA22" s="485"/>
      <c r="AB22" s="485"/>
      <c r="AC22" s="341">
        <f t="shared" si="7"/>
        <v>0.9779411764705882</v>
      </c>
      <c r="AD22" s="493"/>
    </row>
    <row r="23" spans="1:30" ht="129.75">
      <c r="A23" s="300" t="s">
        <v>51</v>
      </c>
      <c r="B23" s="300" t="s">
        <v>52</v>
      </c>
      <c r="C23" s="300" t="s">
        <v>539</v>
      </c>
      <c r="D23" s="300" t="s">
        <v>540</v>
      </c>
      <c r="E23" s="300" t="s">
        <v>541</v>
      </c>
      <c r="F23" s="300" t="s">
        <v>542</v>
      </c>
      <c r="G23" s="300" t="s">
        <v>543</v>
      </c>
      <c r="H23" s="300">
        <v>1</v>
      </c>
      <c r="I23" s="300" t="s">
        <v>431</v>
      </c>
      <c r="J23" s="300" t="s">
        <v>59</v>
      </c>
      <c r="K23" s="300" t="s">
        <v>60</v>
      </c>
      <c r="L23" s="300" t="s">
        <v>544</v>
      </c>
      <c r="M23" s="295">
        <v>43952</v>
      </c>
      <c r="N23" s="295">
        <v>44742</v>
      </c>
      <c r="O23" s="483">
        <f t="shared" si="0"/>
        <v>112.85714285714286</v>
      </c>
      <c r="P23" s="484">
        <v>44754</v>
      </c>
      <c r="Q23" s="484">
        <v>44742</v>
      </c>
      <c r="R23" s="486">
        <f t="shared" si="1"/>
        <v>1.7142857142857082</v>
      </c>
      <c r="S23" s="487" t="str">
        <f t="shared" ca="1" si="2"/>
        <v>Alerta</v>
      </c>
      <c r="T23" s="488">
        <v>1</v>
      </c>
      <c r="U23" s="190">
        <f t="shared" si="3"/>
        <v>1</v>
      </c>
      <c r="V23" s="489">
        <f t="shared" si="4"/>
        <v>0.98481012658227851</v>
      </c>
      <c r="W23" s="490" t="str">
        <f t="shared" si="5"/>
        <v>Incumple</v>
      </c>
      <c r="X23" s="623" t="s">
        <v>545</v>
      </c>
      <c r="Y23" s="269" t="s">
        <v>546</v>
      </c>
      <c r="Z23" s="341">
        <f t="shared" si="6"/>
        <v>0.9924050632911392</v>
      </c>
      <c r="AA23" s="485"/>
      <c r="AB23" s="485"/>
      <c r="AC23" s="341">
        <f t="shared" si="7"/>
        <v>0.9924050632911392</v>
      </c>
      <c r="AD23" s="493"/>
    </row>
    <row r="24" spans="1:30" ht="86.25">
      <c r="A24" s="300" t="s">
        <v>51</v>
      </c>
      <c r="B24" s="300" t="s">
        <v>52</v>
      </c>
      <c r="C24" s="300" t="s">
        <v>547</v>
      </c>
      <c r="D24" s="300" t="s">
        <v>548</v>
      </c>
      <c r="E24" s="300" t="s">
        <v>549</v>
      </c>
      <c r="F24" s="300" t="s">
        <v>550</v>
      </c>
      <c r="G24" s="300" t="s">
        <v>551</v>
      </c>
      <c r="H24" s="300">
        <v>0</v>
      </c>
      <c r="I24" s="300" t="s">
        <v>431</v>
      </c>
      <c r="J24" s="300" t="s">
        <v>59</v>
      </c>
      <c r="K24" s="300" t="s">
        <v>60</v>
      </c>
      <c r="L24" s="300" t="s">
        <v>552</v>
      </c>
      <c r="M24" s="295">
        <v>43952</v>
      </c>
      <c r="N24" s="295">
        <v>44743</v>
      </c>
      <c r="O24" s="483">
        <f t="shared" si="0"/>
        <v>113</v>
      </c>
      <c r="P24" s="484">
        <v>44754</v>
      </c>
      <c r="Q24" s="485"/>
      <c r="R24" s="486">
        <f t="shared" si="1"/>
        <v>1.5714285714285694</v>
      </c>
      <c r="S24" s="487" t="str">
        <f t="shared" ca="1" si="2"/>
        <v>Alerta</v>
      </c>
      <c r="T24" s="488"/>
      <c r="U24" s="190"/>
      <c r="V24" s="489">
        <f t="shared" si="4"/>
        <v>0.98609355246523389</v>
      </c>
      <c r="W24" s="490"/>
      <c r="X24" s="619" t="s">
        <v>61</v>
      </c>
      <c r="Y24" s="620" t="s">
        <v>553</v>
      </c>
      <c r="Z24" s="341">
        <f t="shared" si="6"/>
        <v>0.49304677623261695</v>
      </c>
      <c r="AA24" s="485"/>
      <c r="AB24" s="485"/>
      <c r="AC24" s="341"/>
      <c r="AD24" s="493"/>
    </row>
    <row r="25" spans="1:30" ht="216.75">
      <c r="A25" s="300" t="s">
        <v>51</v>
      </c>
      <c r="B25" s="300" t="s">
        <v>52</v>
      </c>
      <c r="C25" s="300" t="s">
        <v>554</v>
      </c>
      <c r="D25" s="300" t="s">
        <v>555</v>
      </c>
      <c r="E25" s="300" t="s">
        <v>556</v>
      </c>
      <c r="F25" s="300" t="s">
        <v>557</v>
      </c>
      <c r="G25" s="300" t="s">
        <v>558</v>
      </c>
      <c r="H25" s="300">
        <v>1</v>
      </c>
      <c r="I25" s="300" t="s">
        <v>431</v>
      </c>
      <c r="J25" s="300" t="s">
        <v>59</v>
      </c>
      <c r="K25" s="300" t="s">
        <v>60</v>
      </c>
      <c r="L25" s="300" t="s">
        <v>559</v>
      </c>
      <c r="M25" s="295">
        <v>43952</v>
      </c>
      <c r="N25" s="295">
        <v>44744</v>
      </c>
      <c r="O25" s="483">
        <f t="shared" si="0"/>
        <v>113.14285714285714</v>
      </c>
      <c r="P25" s="484">
        <v>44754</v>
      </c>
      <c r="Q25" s="485"/>
      <c r="R25" s="486">
        <f t="shared" si="1"/>
        <v>1.4285714285714306</v>
      </c>
      <c r="S25" s="487" t="str">
        <f t="shared" ca="1" si="2"/>
        <v>Alerta</v>
      </c>
      <c r="T25" s="488">
        <v>1</v>
      </c>
      <c r="U25" s="190">
        <f t="shared" si="3"/>
        <v>1</v>
      </c>
      <c r="V25" s="489">
        <f t="shared" si="4"/>
        <v>0.98737373737373735</v>
      </c>
      <c r="W25" s="490" t="str">
        <f t="shared" si="5"/>
        <v>Incumple</v>
      </c>
      <c r="X25" s="619" t="s">
        <v>61</v>
      </c>
      <c r="Y25" s="620" t="s">
        <v>560</v>
      </c>
      <c r="Z25" s="341">
        <f t="shared" si="6"/>
        <v>0.99368686868686873</v>
      </c>
      <c r="AA25" s="485"/>
      <c r="AB25" s="485"/>
      <c r="AC25" s="341">
        <f t="shared" si="7"/>
        <v>0.99368686868686873</v>
      </c>
      <c r="AD25" s="493"/>
    </row>
    <row r="26" spans="1:30" ht="303.75">
      <c r="A26" s="300" t="s">
        <v>51</v>
      </c>
      <c r="B26" s="300" t="s">
        <v>52</v>
      </c>
      <c r="C26" s="300" t="s">
        <v>561</v>
      </c>
      <c r="D26" s="300" t="s">
        <v>562</v>
      </c>
      <c r="E26" s="300" t="s">
        <v>563</v>
      </c>
      <c r="F26" s="300" t="s">
        <v>564</v>
      </c>
      <c r="G26" s="300" t="s">
        <v>565</v>
      </c>
      <c r="H26" s="300">
        <v>0</v>
      </c>
      <c r="I26" s="300" t="s">
        <v>431</v>
      </c>
      <c r="J26" s="300" t="s">
        <v>59</v>
      </c>
      <c r="K26" s="300" t="s">
        <v>60</v>
      </c>
      <c r="L26" s="300" t="s">
        <v>566</v>
      </c>
      <c r="M26" s="295">
        <v>43952</v>
      </c>
      <c r="N26" s="295">
        <v>44745</v>
      </c>
      <c r="O26" s="483">
        <f t="shared" si="0"/>
        <v>113.28571428571429</v>
      </c>
      <c r="P26" s="484">
        <v>44754</v>
      </c>
      <c r="Q26" s="485"/>
      <c r="R26" s="486">
        <f t="shared" si="1"/>
        <v>1.2857142857142776</v>
      </c>
      <c r="S26" s="487" t="str">
        <f t="shared" ca="1" si="2"/>
        <v>Alerta</v>
      </c>
      <c r="T26" s="488"/>
      <c r="U26" s="190"/>
      <c r="V26" s="489">
        <f>IF(R26&gt;O26,0%,IF(R26&lt;=0,"100%",1-(R26/O26)))</f>
        <v>0.98865069356872648</v>
      </c>
      <c r="W26" s="490"/>
      <c r="X26" s="619" t="s">
        <v>61</v>
      </c>
      <c r="Y26" s="620" t="s">
        <v>553</v>
      </c>
      <c r="Z26" s="341">
        <f t="shared" si="6"/>
        <v>0.49432534678436324</v>
      </c>
      <c r="AA26" s="485"/>
      <c r="AB26" s="485"/>
      <c r="AC26" s="341"/>
      <c r="AD26" s="493"/>
    </row>
    <row r="27" spans="1:30" ht="57.75">
      <c r="A27" s="300" t="s">
        <v>51</v>
      </c>
      <c r="B27" s="300" t="s">
        <v>52</v>
      </c>
      <c r="C27" s="300" t="s">
        <v>567</v>
      </c>
      <c r="D27" s="300" t="s">
        <v>568</v>
      </c>
      <c r="E27" s="300" t="s">
        <v>569</v>
      </c>
      <c r="F27" s="300" t="s">
        <v>570</v>
      </c>
      <c r="G27" s="300" t="s">
        <v>571</v>
      </c>
      <c r="H27" s="300">
        <v>0</v>
      </c>
      <c r="I27" s="300" t="s">
        <v>431</v>
      </c>
      <c r="J27" s="300" t="s">
        <v>59</v>
      </c>
      <c r="K27" s="300" t="s">
        <v>60</v>
      </c>
      <c r="L27" s="300" t="s">
        <v>572</v>
      </c>
      <c r="M27" s="295">
        <v>44470</v>
      </c>
      <c r="N27" s="295">
        <v>44746</v>
      </c>
      <c r="O27" s="483">
        <f t="shared" si="0"/>
        <v>39.428571428571431</v>
      </c>
      <c r="P27" s="484">
        <v>44754</v>
      </c>
      <c r="Q27" s="485"/>
      <c r="R27" s="486">
        <f t="shared" si="1"/>
        <v>1.1428571428571388</v>
      </c>
      <c r="S27" s="487" t="str">
        <f t="shared" ca="1" si="2"/>
        <v>Alerta</v>
      </c>
      <c r="T27" s="488"/>
      <c r="U27" s="190"/>
      <c r="V27" s="489">
        <f>IF(R27&gt;O27,0%,IF(R27&lt;=0,"100%",1-(R27/O27)))</f>
        <v>0.97101449275362328</v>
      </c>
      <c r="W27" s="490"/>
      <c r="X27" s="619" t="s">
        <v>61</v>
      </c>
      <c r="Y27" s="620" t="s">
        <v>553</v>
      </c>
      <c r="Z27" s="341">
        <f t="shared" si="6"/>
        <v>0.48550724637681164</v>
      </c>
      <c r="AA27" s="485"/>
      <c r="AB27" s="485"/>
      <c r="AC27" s="341"/>
      <c r="AD27" s="493"/>
    </row>
    <row r="28" spans="1:30" ht="72" thickBot="1">
      <c r="A28" s="300" t="s">
        <v>51</v>
      </c>
      <c r="B28" s="300" t="s">
        <v>52</v>
      </c>
      <c r="C28" s="300" t="s">
        <v>573</v>
      </c>
      <c r="D28" s="300" t="s">
        <v>574</v>
      </c>
      <c r="E28" s="300" t="s">
        <v>575</v>
      </c>
      <c r="F28" s="300" t="s">
        <v>576</v>
      </c>
      <c r="G28" s="300" t="s">
        <v>577</v>
      </c>
      <c r="H28" s="300">
        <v>1</v>
      </c>
      <c r="I28" s="300" t="s">
        <v>431</v>
      </c>
      <c r="J28" s="300" t="s">
        <v>59</v>
      </c>
      <c r="K28" s="300" t="s">
        <v>60</v>
      </c>
      <c r="L28" s="300" t="s">
        <v>566</v>
      </c>
      <c r="M28" s="295">
        <v>44470</v>
      </c>
      <c r="N28" s="295">
        <v>44747</v>
      </c>
      <c r="O28" s="483">
        <f t="shared" si="0"/>
        <v>39.571428571428569</v>
      </c>
      <c r="P28" s="484">
        <v>45282</v>
      </c>
      <c r="Q28" s="485"/>
      <c r="R28" s="486">
        <f t="shared" si="1"/>
        <v>76.428571428571431</v>
      </c>
      <c r="S28" s="487" t="str">
        <f t="shared" ca="1" si="2"/>
        <v>Alerta</v>
      </c>
      <c r="T28" s="488">
        <v>0</v>
      </c>
      <c r="U28" s="190">
        <f t="shared" si="3"/>
        <v>0</v>
      </c>
      <c r="V28" s="489">
        <f t="shared" si="4"/>
        <v>0</v>
      </c>
      <c r="W28" s="490" t="str">
        <f t="shared" si="5"/>
        <v>Incumple</v>
      </c>
      <c r="X28" s="491" t="s">
        <v>61</v>
      </c>
      <c r="Y28" s="492" t="s">
        <v>578</v>
      </c>
      <c r="Z28" s="341">
        <f t="shared" si="6"/>
        <v>0</v>
      </c>
      <c r="AA28" s="485"/>
      <c r="AB28" s="485"/>
      <c r="AC28" s="341">
        <f t="shared" si="7"/>
        <v>0</v>
      </c>
      <c r="AD28" s="493"/>
    </row>
    <row r="29" spans="1:30" ht="18.75" thickBot="1">
      <c r="A29" s="73"/>
      <c r="B29" s="73"/>
      <c r="C29" s="73"/>
      <c r="D29" s="73"/>
      <c r="E29" s="73"/>
      <c r="F29" s="73"/>
      <c r="G29" s="495" t="s">
        <v>153</v>
      </c>
      <c r="H29" s="472">
        <f>SUM(H7:H28)</f>
        <v>34</v>
      </c>
      <c r="I29" s="77"/>
      <c r="J29" s="77"/>
      <c r="K29" s="77"/>
      <c r="L29" s="77"/>
      <c r="M29" s="77"/>
      <c r="N29" s="77"/>
      <c r="O29" s="78"/>
      <c r="P29" s="78"/>
      <c r="Q29" s="78"/>
      <c r="R29" s="494" t="s">
        <v>154</v>
      </c>
      <c r="S29" s="494"/>
      <c r="T29" s="473">
        <f>SUM(T7:T28)</f>
        <v>28.6</v>
      </c>
      <c r="U29" s="474">
        <f>AVERAGE(U7,U8,U9,U10,U11,U12,U13,U14,U15,U16,U17,U18,U19,U20,U21,U22,U23,U25,U28)</f>
        <v>0.84912280701754383</v>
      </c>
      <c r="V29" s="494" t="s">
        <v>43</v>
      </c>
      <c r="W29" s="475">
        <f>(COUNTIF(W7:W28,"Cumple"))/COUNTA(W7:W28)</f>
        <v>0.10526315789473684</v>
      </c>
      <c r="X29" s="77"/>
      <c r="Y29" s="77"/>
      <c r="Z29" s="708" t="s">
        <v>154</v>
      </c>
      <c r="AA29" s="708"/>
      <c r="AB29" s="709"/>
      <c r="AC29" s="79">
        <f>AVERAGE(AC7:AC28)</f>
        <v>0.72654072837118866</v>
      </c>
      <c r="AD29" s="73"/>
    </row>
  </sheetData>
  <autoFilter ref="A6:AD29" xr:uid="{18FB1B8E-C10B-42A1-A076-3C0B21313F36}"/>
  <mergeCells count="25">
    <mergeCell ref="Z29:AB29"/>
    <mergeCell ref="T4:U4"/>
    <mergeCell ref="V4:Y4"/>
    <mergeCell ref="A4:B4"/>
    <mergeCell ref="C4:F4"/>
    <mergeCell ref="G4:H4"/>
    <mergeCell ref="I4:N4"/>
    <mergeCell ref="O4:P4"/>
    <mergeCell ref="Q4:S4"/>
    <mergeCell ref="W3:X3"/>
    <mergeCell ref="O1:P2"/>
    <mergeCell ref="Q1:Y2"/>
    <mergeCell ref="Z1:AD4"/>
    <mergeCell ref="A2:B2"/>
    <mergeCell ref="C2:F2"/>
    <mergeCell ref="G2:H2"/>
    <mergeCell ref="I2:N2"/>
    <mergeCell ref="Q3:V3"/>
    <mergeCell ref="A1:B1"/>
    <mergeCell ref="C1:N1"/>
    <mergeCell ref="A3:B3"/>
    <mergeCell ref="C3:F3"/>
    <mergeCell ref="G3:H3"/>
    <mergeCell ref="I3:N3"/>
    <mergeCell ref="O3:P3"/>
  </mergeCells>
  <conditionalFormatting sqref="R7:R28">
    <cfRule type="cellIs" dxfId="410" priority="32" operator="greaterThan">
      <formula>0</formula>
    </cfRule>
    <cfRule type="cellIs" dxfId="409" priority="33" operator="lessThan">
      <formula>0</formula>
    </cfRule>
  </conditionalFormatting>
  <conditionalFormatting sqref="S7:S28">
    <cfRule type="containsText" dxfId="408" priority="30" operator="containsText" text="Alerta">
      <formula>NOT(ISERROR(SEARCH("Alerta",S7)))</formula>
    </cfRule>
    <cfRule type="containsText" dxfId="407" priority="31" operator="containsText" text="En tiempo">
      <formula>NOT(ISERROR(SEARCH("En tiempo",S7)))</formula>
    </cfRule>
  </conditionalFormatting>
  <conditionalFormatting sqref="U7:U29">
    <cfRule type="cellIs" dxfId="406" priority="9" stopIfTrue="1" operator="between">
      <formula>0.8</formula>
      <formula>1</formula>
    </cfRule>
    <cfRule type="cellIs" dxfId="405" priority="10" stopIfTrue="1" operator="between">
      <formula>0.5</formula>
      <formula>0.79</formula>
    </cfRule>
    <cfRule type="cellIs" dxfId="404" priority="11" stopIfTrue="1" operator="between">
      <formula>0.3</formula>
      <formula>0.49</formula>
    </cfRule>
    <cfRule type="cellIs" dxfId="403" priority="12" stopIfTrue="1" operator="between">
      <formula>0</formula>
      <formula>0.29</formula>
    </cfRule>
  </conditionalFormatting>
  <conditionalFormatting sqref="V7:V28">
    <cfRule type="cellIs" dxfId="402" priority="24" operator="between">
      <formula>0.19</formula>
      <formula>0</formula>
    </cfRule>
    <cfRule type="cellIs" dxfId="401" priority="25" operator="between">
      <formula>0.49</formula>
      <formula>0.2</formula>
    </cfRule>
    <cfRule type="cellIs" dxfId="400" priority="26" operator="between">
      <formula>0.89</formula>
      <formula>0.5</formula>
    </cfRule>
    <cfRule type="cellIs" dxfId="399" priority="27" operator="between">
      <formula>1</formula>
      <formula>0.9</formula>
    </cfRule>
  </conditionalFormatting>
  <conditionalFormatting sqref="W7:W28">
    <cfRule type="containsText" dxfId="398" priority="28" operator="containsText" text="Incumple">
      <formula>NOT(ISERROR(SEARCH("Incumple",W7)))</formula>
    </cfRule>
    <cfRule type="containsText" dxfId="397" priority="29" operator="containsText" text="Cumple">
      <formula>NOT(ISERROR(SEARCH("Cumple",W7)))</formula>
    </cfRule>
  </conditionalFormatting>
  <conditionalFormatting sqref="W29">
    <cfRule type="cellIs" dxfId="396" priority="16" operator="between">
      <formula>0.19</formula>
      <formula>0</formula>
    </cfRule>
    <cfRule type="cellIs" dxfId="395" priority="17" operator="between">
      <formula>0.49</formula>
      <formula>0.2</formula>
    </cfRule>
    <cfRule type="cellIs" dxfId="394" priority="18" operator="between">
      <formula>0.89</formula>
      <formula>0.5</formula>
    </cfRule>
    <cfRule type="cellIs" dxfId="393" priority="19" operator="between">
      <formula>1</formula>
      <formula>0.9</formula>
    </cfRule>
  </conditionalFormatting>
  <conditionalFormatting sqref="Z7:Z28">
    <cfRule type="cellIs" dxfId="392" priority="5" operator="between">
      <formula>0.19</formula>
      <formula>0</formula>
    </cfRule>
    <cfRule type="cellIs" dxfId="391" priority="6" operator="between">
      <formula>0.49</formula>
      <formula>0.2</formula>
    </cfRule>
    <cfRule type="cellIs" dxfId="390" priority="7" operator="between">
      <formula>0.89</formula>
      <formula>0.5</formula>
    </cfRule>
    <cfRule type="cellIs" dxfId="389" priority="8" operator="between">
      <formula>1</formula>
      <formula>0.9</formula>
    </cfRule>
  </conditionalFormatting>
  <conditionalFormatting sqref="AC7:AC28">
    <cfRule type="cellIs" dxfId="388" priority="1" operator="between">
      <formula>0.19</formula>
      <formula>0</formula>
    </cfRule>
    <cfRule type="cellIs" dxfId="387" priority="2" operator="between">
      <formula>0.49</formula>
      <formula>0.2</formula>
    </cfRule>
    <cfRule type="cellIs" dxfId="386" priority="3" operator="between">
      <formula>0.89</formula>
      <formula>0.5</formula>
    </cfRule>
    <cfRule type="cellIs" dxfId="385" priority="4" operator="between">
      <formula>1</formula>
      <formula>0.9</formula>
    </cfRule>
  </conditionalFormatting>
  <conditionalFormatting sqref="AC29">
    <cfRule type="cellIs" dxfId="384" priority="13" operator="between">
      <formula>0.3</formula>
      <formula>0</formula>
    </cfRule>
    <cfRule type="cellIs" dxfId="383" priority="14" operator="between">
      <formula>0.6999</formula>
      <formula>0.3111</formula>
    </cfRule>
    <cfRule type="cellIs" dxfId="382" priority="15" operator="between">
      <formula>1</formula>
      <formula>0.7</formula>
    </cfRule>
  </conditionalFormatting>
  <hyperlinks>
    <hyperlink ref="X18" r:id="rId1" display="Comunicado: http://www.unicauca.edu.co/versionP/documentos/comunicados/comunicado-sobre-firma-yo-suscripci%C3%B3n-en-documentos-institucionales-con-la-menci%C3%B3n-del-cargo-corr                                                           Se anexa el cronograma de Reinducción y su programa.  https://drive.google.com/file/d/1xksKJ3tlGq5DNmOiP8jdR6Ku-Xdcp4I7/view?usp=sharing                                                    También se anexan las presentaciones socializadas a cada uno de los grupos diferenciados por cargo. https://drive.google.com/drive/folders/13sazZA_V27W5K1AzcoWxjpa_nqXPLytP?usp=sharing                                                    Listado de asistencia a la reinducción.  https://drive.google.com/file/d/1SAlLVEVuKecxWFDR0yQ9TWdbkQVWncZQ/view?usp=sharing " xr:uid="{A57BCB6D-272C-4367-A203-BA946C501156}"/>
    <hyperlink ref="X20" r:id="rId2" xr:uid="{86767C24-3178-4D75-A54E-22488554D4E5}"/>
    <hyperlink ref="X21" r:id="rId3" display="Plan de Trabajo Archivo de Historias Laborales.  https://drive.google.com/file/d/1z0dtt2XbCbygBe0qZCCAQA8-UUK5s96Z/view?usp=sharing                                                                                                    Revisión de Requisitos Historias Laborales                           https://drive.google.com/file/d/18xvlgnnXoj-Sc4QEc_XAXF0qIEuFPN5C/view?usp=sharing " xr:uid="{9EB7E411-FEDB-47C1-861C-6FFADE9F5D85}"/>
    <hyperlink ref="X23" r:id="rId4" xr:uid="{24DAF0FD-874E-4B5C-8736-3E4777D4D229}"/>
  </hyperlinks>
  <pageMargins left="0.7" right="0.7" top="0.75" bottom="0.75" header="0.3" footer="0.3"/>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6733B-E0B2-48EB-8940-3FD933212DCC}">
  <sheetPr>
    <tabColor theme="0"/>
  </sheetPr>
  <dimension ref="A1:AD28"/>
  <sheetViews>
    <sheetView zoomScale="25" zoomScaleNormal="25" workbookViewId="0">
      <selection activeCell="X15" sqref="X15"/>
    </sheetView>
  </sheetViews>
  <sheetFormatPr defaultColWidth="18.85546875" defaultRowHeight="12.75"/>
  <cols>
    <col min="1" max="2" width="9.85546875" customWidth="1"/>
    <col min="3" max="3" width="66.140625" customWidth="1"/>
    <col min="4" max="4" width="41.5703125" customWidth="1"/>
    <col min="5" max="5" width="31.5703125" customWidth="1"/>
    <col min="6" max="6" width="43.85546875" customWidth="1"/>
    <col min="7" max="7" width="22.140625" customWidth="1"/>
    <col min="8" max="8" width="9.42578125" bestFit="1" customWidth="1"/>
    <col min="9" max="9" width="17.7109375" customWidth="1"/>
    <col min="10" max="10" width="11.28515625" customWidth="1"/>
    <col min="11" max="11" width="16.140625" customWidth="1"/>
    <col min="12" max="12" width="21.5703125" customWidth="1"/>
    <col min="13" max="13" width="14.140625" customWidth="1"/>
    <col min="14" max="14" width="18" customWidth="1"/>
    <col min="15" max="15" width="9.42578125" customWidth="1"/>
    <col min="16" max="16" width="16.28515625" customWidth="1"/>
    <col min="17" max="17" width="17" customWidth="1"/>
    <col min="18" max="19" width="12.42578125" customWidth="1"/>
    <col min="20" max="20" width="18" customWidth="1"/>
    <col min="21" max="21" width="15.5703125" customWidth="1"/>
    <col min="22" max="22" width="15.140625" customWidth="1"/>
    <col min="23" max="23" width="15.42578125" customWidth="1"/>
    <col min="24" max="24" width="55" customWidth="1"/>
    <col min="25" max="25" width="42.7109375" customWidth="1"/>
    <col min="26" max="26" width="13" bestFit="1" customWidth="1"/>
    <col min="27" max="27" width="14.85546875" customWidth="1"/>
    <col min="28" max="28" width="12" customWidth="1"/>
    <col min="29" max="29" width="13" bestFit="1" customWidth="1"/>
    <col min="30" max="30" width="65.28515625" customWidth="1"/>
  </cols>
  <sheetData>
    <row r="1" spans="1:30" ht="109.5" customHeight="1" thickBot="1">
      <c r="A1" s="663" t="s">
        <v>0</v>
      </c>
      <c r="B1" s="663"/>
      <c r="C1" s="663" t="s">
        <v>155</v>
      </c>
      <c r="D1" s="663"/>
      <c r="E1" s="663"/>
      <c r="F1" s="663"/>
      <c r="G1" s="663"/>
      <c r="H1" s="663"/>
      <c r="I1" s="663"/>
      <c r="J1" s="663"/>
      <c r="K1" s="663"/>
      <c r="L1" s="663"/>
      <c r="M1" s="663"/>
      <c r="N1" s="663"/>
      <c r="O1" s="663"/>
      <c r="P1" s="663"/>
      <c r="Q1" s="663" t="s">
        <v>1</v>
      </c>
      <c r="R1" s="663"/>
      <c r="S1" s="663"/>
      <c r="T1" s="663"/>
      <c r="U1" s="663"/>
      <c r="V1" s="663"/>
      <c r="W1" s="663"/>
      <c r="X1" s="663"/>
      <c r="Y1" s="663"/>
      <c r="Z1" s="663" t="s">
        <v>1</v>
      </c>
      <c r="AA1" s="663"/>
      <c r="AB1" s="663"/>
      <c r="AC1" s="663"/>
      <c r="AD1" s="663"/>
    </row>
    <row r="2" spans="1:30" ht="22.5" customHeight="1" thickBot="1">
      <c r="A2" s="663" t="s">
        <v>2</v>
      </c>
      <c r="B2" s="663"/>
      <c r="C2" s="663" t="s">
        <v>3</v>
      </c>
      <c r="D2" s="666"/>
      <c r="E2" s="666"/>
      <c r="F2" s="666"/>
      <c r="G2" s="663" t="s">
        <v>4</v>
      </c>
      <c r="H2" s="663"/>
      <c r="I2" s="663" t="s">
        <v>5</v>
      </c>
      <c r="J2" s="663"/>
      <c r="K2" s="663"/>
      <c r="L2" s="663"/>
      <c r="M2" s="663"/>
      <c r="N2" s="663"/>
      <c r="O2" s="663"/>
      <c r="P2" s="663"/>
      <c r="Q2" s="663"/>
      <c r="R2" s="663"/>
      <c r="S2" s="663"/>
      <c r="T2" s="663"/>
      <c r="U2" s="663"/>
      <c r="V2" s="663"/>
      <c r="W2" s="663"/>
      <c r="X2" s="663"/>
      <c r="Y2" s="663"/>
      <c r="Z2" s="663"/>
      <c r="AA2" s="663"/>
      <c r="AB2" s="663"/>
      <c r="AC2" s="663"/>
      <c r="AD2" s="663"/>
    </row>
    <row r="3" spans="1:30" ht="36.75" customHeight="1">
      <c r="A3" s="677" t="s">
        <v>6</v>
      </c>
      <c r="B3" s="677"/>
      <c r="C3" s="663" t="s">
        <v>579</v>
      </c>
      <c r="D3" s="663"/>
      <c r="E3" s="663"/>
      <c r="F3" s="663"/>
      <c r="G3" s="677" t="s">
        <v>8</v>
      </c>
      <c r="H3" s="677"/>
      <c r="I3" s="665">
        <v>44866</v>
      </c>
      <c r="J3" s="663"/>
      <c r="K3" s="663"/>
      <c r="L3" s="663"/>
      <c r="M3" s="663"/>
      <c r="N3" s="663"/>
      <c r="O3" s="677" t="s">
        <v>9</v>
      </c>
      <c r="P3" s="677"/>
      <c r="Q3" s="665">
        <v>45282</v>
      </c>
      <c r="R3" s="665"/>
      <c r="S3" s="665"/>
      <c r="T3" s="665"/>
      <c r="U3" s="665"/>
      <c r="V3" s="665"/>
      <c r="W3" s="677" t="s">
        <v>10</v>
      </c>
      <c r="X3" s="677"/>
      <c r="Y3" s="378" t="s">
        <v>580</v>
      </c>
      <c r="Z3" s="663"/>
      <c r="AA3" s="663"/>
      <c r="AB3" s="663"/>
      <c r="AC3" s="663"/>
      <c r="AD3" s="663"/>
    </row>
    <row r="4" spans="1:30" ht="33" customHeight="1" thickBot="1">
      <c r="A4" s="677" t="s">
        <v>12</v>
      </c>
      <c r="B4" s="677"/>
      <c r="C4" s="663" t="s">
        <v>581</v>
      </c>
      <c r="D4" s="663"/>
      <c r="E4" s="663"/>
      <c r="F4" s="663"/>
      <c r="G4" s="677" t="s">
        <v>14</v>
      </c>
      <c r="H4" s="677"/>
      <c r="I4" s="665">
        <v>45230</v>
      </c>
      <c r="J4" s="665"/>
      <c r="K4" s="665"/>
      <c r="L4" s="665"/>
      <c r="M4" s="665"/>
      <c r="N4" s="665"/>
      <c r="O4" s="677" t="s">
        <v>15</v>
      </c>
      <c r="P4" s="677"/>
      <c r="Q4" s="663" t="s">
        <v>16</v>
      </c>
      <c r="R4" s="663"/>
      <c r="S4" s="663"/>
      <c r="T4" s="664" t="s">
        <v>17</v>
      </c>
      <c r="U4" s="664"/>
      <c r="V4" s="663" t="s">
        <v>582</v>
      </c>
      <c r="W4" s="663"/>
      <c r="X4" s="663"/>
      <c r="Y4" s="663"/>
      <c r="Z4" s="663"/>
      <c r="AA4" s="663"/>
      <c r="AB4" s="663"/>
      <c r="AC4" s="663"/>
      <c r="AD4" s="663"/>
    </row>
    <row r="5" spans="1:30" ht="15.75" thickBot="1">
      <c r="A5" s="686" t="s">
        <v>18</v>
      </c>
      <c r="B5" s="687"/>
      <c r="C5" s="687"/>
      <c r="D5" s="687"/>
      <c r="E5" s="687"/>
      <c r="F5" s="687"/>
      <c r="G5" s="687"/>
      <c r="H5" s="687"/>
      <c r="I5" s="687"/>
      <c r="J5" s="687"/>
      <c r="K5" s="687"/>
      <c r="L5" s="687"/>
      <c r="M5" s="687"/>
      <c r="N5" s="688"/>
      <c r="O5" s="680" t="s">
        <v>19</v>
      </c>
      <c r="P5" s="681"/>
      <c r="Q5" s="681"/>
      <c r="R5" s="681"/>
      <c r="S5" s="681"/>
      <c r="T5" s="681"/>
      <c r="U5" s="681"/>
      <c r="V5" s="681"/>
      <c r="W5" s="681"/>
      <c r="X5" s="681"/>
      <c r="Y5" s="682"/>
      <c r="Z5" s="683" t="s">
        <v>20</v>
      </c>
      <c r="AA5" s="684"/>
      <c r="AB5" s="684"/>
      <c r="AC5" s="684"/>
      <c r="AD5" s="685"/>
    </row>
    <row r="6" spans="1:30" ht="105.75" thickBot="1">
      <c r="A6" s="457" t="s">
        <v>21</v>
      </c>
      <c r="B6" s="457" t="s">
        <v>22</v>
      </c>
      <c r="C6" s="457" t="s">
        <v>23</v>
      </c>
      <c r="D6" s="457" t="s">
        <v>24</v>
      </c>
      <c r="E6" s="457" t="s">
        <v>25</v>
      </c>
      <c r="F6" s="457" t="s">
        <v>26</v>
      </c>
      <c r="G6" s="457" t="s">
        <v>27</v>
      </c>
      <c r="H6" s="457" t="s">
        <v>28</v>
      </c>
      <c r="I6" s="457" t="s">
        <v>29</v>
      </c>
      <c r="J6" s="457" t="s">
        <v>30</v>
      </c>
      <c r="K6" s="457" t="s">
        <v>31</v>
      </c>
      <c r="L6" s="457" t="s">
        <v>32</v>
      </c>
      <c r="M6" s="457" t="s">
        <v>33</v>
      </c>
      <c r="N6" s="457" t="s">
        <v>34</v>
      </c>
      <c r="O6" s="458" t="s">
        <v>35</v>
      </c>
      <c r="P6" s="458" t="s">
        <v>36</v>
      </c>
      <c r="Q6" s="458" t="s">
        <v>37</v>
      </c>
      <c r="R6" s="458" t="s">
        <v>38</v>
      </c>
      <c r="S6" s="458" t="s">
        <v>39</v>
      </c>
      <c r="T6" s="458" t="s">
        <v>40</v>
      </c>
      <c r="U6" s="458" t="s">
        <v>41</v>
      </c>
      <c r="V6" s="458" t="s">
        <v>42</v>
      </c>
      <c r="W6" s="458" t="s">
        <v>43</v>
      </c>
      <c r="X6" s="458" t="s">
        <v>44</v>
      </c>
      <c r="Y6" s="458" t="s">
        <v>45</v>
      </c>
      <c r="Z6" s="459" t="s">
        <v>46</v>
      </c>
      <c r="AA6" s="459" t="s">
        <v>47</v>
      </c>
      <c r="AB6" s="459" t="s">
        <v>48</v>
      </c>
      <c r="AC6" s="459" t="s">
        <v>49</v>
      </c>
      <c r="AD6" s="459" t="s">
        <v>50</v>
      </c>
    </row>
    <row r="7" spans="1:30" ht="103.5" customHeight="1">
      <c r="A7" s="300" t="s">
        <v>341</v>
      </c>
      <c r="B7" s="300" t="s">
        <v>583</v>
      </c>
      <c r="C7" s="300" t="s">
        <v>584</v>
      </c>
      <c r="D7" s="300" t="s">
        <v>585</v>
      </c>
      <c r="E7" s="300" t="s">
        <v>586</v>
      </c>
      <c r="F7" s="300" t="s">
        <v>587</v>
      </c>
      <c r="G7" s="300" t="s">
        <v>588</v>
      </c>
      <c r="H7" s="300">
        <v>2</v>
      </c>
      <c r="I7" s="293" t="s">
        <v>589</v>
      </c>
      <c r="J7" s="300" t="s">
        <v>590</v>
      </c>
      <c r="K7" s="300" t="s">
        <v>591</v>
      </c>
      <c r="L7" s="293" t="s">
        <v>588</v>
      </c>
      <c r="M7" s="460">
        <v>44866</v>
      </c>
      <c r="N7" s="461">
        <v>45230</v>
      </c>
      <c r="O7" s="462">
        <f>(+N7-M7)/7</f>
        <v>52</v>
      </c>
      <c r="P7" s="294">
        <v>45282</v>
      </c>
      <c r="Q7" s="293"/>
      <c r="R7" s="463">
        <f>(P7-M7)/7-O7</f>
        <v>7.4285714285714306</v>
      </c>
      <c r="S7" s="464" t="str">
        <f ca="1">IF((N7-TODAY())/7&gt;=0,"En tiempo","Alerta")</f>
        <v>Alerta</v>
      </c>
      <c r="T7" s="465">
        <v>0</v>
      </c>
      <c r="U7" s="190">
        <f>IF(T7/H7=1,1,+T7/H7)</f>
        <v>0</v>
      </c>
      <c r="V7" s="466">
        <f>IF(R7&gt;O7,0%,IF(R7&lt;=0,"100%",1-(R7/O7)))</f>
        <v>0.8571428571428571</v>
      </c>
      <c r="W7" s="467" t="str">
        <f>IF(P7&lt;=N7,"Cumple","Incumple")</f>
        <v>Incumple</v>
      </c>
      <c r="X7" s="562" t="s">
        <v>592</v>
      </c>
      <c r="Y7" s="293" t="s">
        <v>593</v>
      </c>
      <c r="Z7" s="341">
        <f>(U7+V7)/2</f>
        <v>0.42857142857142855</v>
      </c>
      <c r="AA7" s="293"/>
      <c r="AB7" s="293"/>
      <c r="AC7" s="341">
        <f>AVERAGE(Z7:AB7)</f>
        <v>0.42857142857142855</v>
      </c>
      <c r="AD7" s="293"/>
    </row>
    <row r="8" spans="1:30" ht="86.25">
      <c r="A8" s="300" t="s">
        <v>341</v>
      </c>
      <c r="B8" s="300" t="s">
        <v>583</v>
      </c>
      <c r="C8" s="300" t="s">
        <v>594</v>
      </c>
      <c r="D8" s="300" t="s">
        <v>595</v>
      </c>
      <c r="E8" s="300" t="s">
        <v>596</v>
      </c>
      <c r="F8" s="300" t="s">
        <v>597</v>
      </c>
      <c r="G8" s="300" t="s">
        <v>598</v>
      </c>
      <c r="H8" s="300">
        <v>1</v>
      </c>
      <c r="I8" s="293" t="s">
        <v>599</v>
      </c>
      <c r="J8" s="305" t="s">
        <v>600</v>
      </c>
      <c r="K8" s="293" t="s">
        <v>591</v>
      </c>
      <c r="L8" s="293" t="s">
        <v>601</v>
      </c>
      <c r="M8" s="460">
        <v>44866</v>
      </c>
      <c r="N8" s="460">
        <v>44958</v>
      </c>
      <c r="O8" s="462">
        <f t="shared" ref="O8:O27" si="0">(+N8-M8)/7</f>
        <v>13.142857142857142</v>
      </c>
      <c r="P8" s="460">
        <v>44955</v>
      </c>
      <c r="Q8" s="460">
        <v>44955</v>
      </c>
      <c r="R8" s="463">
        <f t="shared" ref="R8:R27" si="1">(P8-M8)/7-O8</f>
        <v>-0.42857142857142883</v>
      </c>
      <c r="S8" s="464" t="str">
        <f t="shared" ref="S8:S27" ca="1" si="2">IF((N8-TODAY())/7&gt;=0,"En tiempo","Alerta")</f>
        <v>Alerta</v>
      </c>
      <c r="T8" s="465">
        <v>1</v>
      </c>
      <c r="U8" s="190">
        <f t="shared" ref="U8:U27" si="3">IF(T8/H8=1,1,+T8/H8)</f>
        <v>1</v>
      </c>
      <c r="V8" s="466" t="str">
        <f t="shared" ref="V8:V27" si="4">IF(R8&gt;O8,0%,IF(R8&lt;=0,"100%",1-(R8/O8)))</f>
        <v>100%</v>
      </c>
      <c r="W8" s="467" t="str">
        <f>IF(P8&lt;=N8,"Cumple","Incumple")</f>
        <v>Cumple</v>
      </c>
      <c r="X8" s="293" t="s">
        <v>602</v>
      </c>
      <c r="Y8" s="293" t="s">
        <v>603</v>
      </c>
      <c r="Z8" s="341">
        <f t="shared" ref="Z8:Z27" si="5">(U8+V8)/2</f>
        <v>1</v>
      </c>
      <c r="AA8" s="293"/>
      <c r="AB8" s="293"/>
      <c r="AC8" s="341">
        <f t="shared" ref="AC8:AC27" si="6">AVERAGE(Z8:AB8)</f>
        <v>1</v>
      </c>
      <c r="AD8" s="305"/>
    </row>
    <row r="9" spans="1:30" ht="128.25">
      <c r="A9" s="300" t="s">
        <v>341</v>
      </c>
      <c r="B9" s="300" t="s">
        <v>583</v>
      </c>
      <c r="C9" s="300" t="s">
        <v>604</v>
      </c>
      <c r="D9" s="300" t="s">
        <v>605</v>
      </c>
      <c r="E9" s="300" t="s">
        <v>606</v>
      </c>
      <c r="F9" s="300" t="s">
        <v>607</v>
      </c>
      <c r="G9" s="300" t="s">
        <v>608</v>
      </c>
      <c r="H9" s="300">
        <v>1</v>
      </c>
      <c r="I9" s="293" t="s">
        <v>609</v>
      </c>
      <c r="J9" s="305" t="s">
        <v>610</v>
      </c>
      <c r="K9" s="293" t="s">
        <v>611</v>
      </c>
      <c r="L9" s="293" t="s">
        <v>612</v>
      </c>
      <c r="M9" s="460">
        <v>44866</v>
      </c>
      <c r="N9" s="460">
        <v>44972</v>
      </c>
      <c r="O9" s="462">
        <f t="shared" si="0"/>
        <v>15.142857142857142</v>
      </c>
      <c r="P9" s="294">
        <v>45282</v>
      </c>
      <c r="Q9" s="293"/>
      <c r="R9" s="463">
        <f t="shared" si="1"/>
        <v>44.285714285714292</v>
      </c>
      <c r="S9" s="464" t="str">
        <f t="shared" ca="1" si="2"/>
        <v>Alerta</v>
      </c>
      <c r="T9" s="465">
        <v>0.2</v>
      </c>
      <c r="U9" s="190">
        <f t="shared" si="3"/>
        <v>0.2</v>
      </c>
      <c r="V9" s="466">
        <f t="shared" si="4"/>
        <v>0</v>
      </c>
      <c r="W9" s="467" t="str">
        <f t="shared" ref="W8:W27" si="7">IF(P9&lt;=N9,"Cumple","Incumple")</f>
        <v>Incumple</v>
      </c>
      <c r="X9" s="293" t="s">
        <v>613</v>
      </c>
      <c r="Y9" s="293" t="s">
        <v>614</v>
      </c>
      <c r="Z9" s="341">
        <f t="shared" si="5"/>
        <v>0.1</v>
      </c>
      <c r="AA9" s="293"/>
      <c r="AB9" s="293"/>
      <c r="AC9" s="341">
        <f t="shared" si="6"/>
        <v>0.1</v>
      </c>
      <c r="AD9" s="305"/>
    </row>
    <row r="10" spans="1:30" ht="235.5" customHeight="1">
      <c r="A10" s="300" t="s">
        <v>341</v>
      </c>
      <c r="B10" s="300" t="s">
        <v>583</v>
      </c>
      <c r="C10" s="300" t="s">
        <v>615</v>
      </c>
      <c r="D10" s="300" t="s">
        <v>616</v>
      </c>
      <c r="E10" s="300" t="s">
        <v>617</v>
      </c>
      <c r="F10" s="300" t="s">
        <v>618</v>
      </c>
      <c r="G10" s="300" t="s">
        <v>619</v>
      </c>
      <c r="H10" s="300">
        <v>1</v>
      </c>
      <c r="I10" s="293" t="s">
        <v>599</v>
      </c>
      <c r="J10" s="305" t="s">
        <v>600</v>
      </c>
      <c r="K10" s="293" t="s">
        <v>611</v>
      </c>
      <c r="L10" s="293" t="s">
        <v>620</v>
      </c>
      <c r="M10" s="460">
        <v>44866</v>
      </c>
      <c r="N10" s="460">
        <v>44956</v>
      </c>
      <c r="O10" s="462">
        <f t="shared" si="0"/>
        <v>12.857142857142858</v>
      </c>
      <c r="P10" s="294">
        <v>45282</v>
      </c>
      <c r="Q10" s="293"/>
      <c r="R10" s="463">
        <f t="shared" si="1"/>
        <v>46.571428571428569</v>
      </c>
      <c r="S10" s="464" t="str">
        <f t="shared" ca="1" si="2"/>
        <v>Alerta</v>
      </c>
      <c r="T10" s="465">
        <v>0.3</v>
      </c>
      <c r="U10" s="190">
        <f t="shared" si="3"/>
        <v>0.3</v>
      </c>
      <c r="V10" s="466">
        <f t="shared" si="4"/>
        <v>0</v>
      </c>
      <c r="W10" s="467" t="str">
        <f t="shared" si="7"/>
        <v>Incumple</v>
      </c>
      <c r="X10" s="293" t="s">
        <v>621</v>
      </c>
      <c r="Y10" s="293" t="s">
        <v>622</v>
      </c>
      <c r="Z10" s="341">
        <f t="shared" si="5"/>
        <v>0.15</v>
      </c>
      <c r="AA10" s="293"/>
      <c r="AB10" s="293"/>
      <c r="AC10" s="341">
        <f t="shared" si="6"/>
        <v>0.15</v>
      </c>
      <c r="AD10" s="305"/>
    </row>
    <row r="11" spans="1:30" ht="185.25" customHeight="1">
      <c r="A11" s="300" t="s">
        <v>341</v>
      </c>
      <c r="B11" s="300" t="s">
        <v>583</v>
      </c>
      <c r="C11" s="300" t="s">
        <v>623</v>
      </c>
      <c r="D11" s="300" t="s">
        <v>624</v>
      </c>
      <c r="E11" s="300" t="s">
        <v>625</v>
      </c>
      <c r="F11" s="300" t="s">
        <v>626</v>
      </c>
      <c r="G11" s="300" t="s">
        <v>627</v>
      </c>
      <c r="H11" s="300">
        <v>1</v>
      </c>
      <c r="I11" s="293" t="s">
        <v>599</v>
      </c>
      <c r="J11" s="305" t="s">
        <v>600</v>
      </c>
      <c r="K11" s="293" t="s">
        <v>611</v>
      </c>
      <c r="L11" s="293" t="s">
        <v>628</v>
      </c>
      <c r="M11" s="460">
        <v>44866</v>
      </c>
      <c r="N11" s="460">
        <v>44956</v>
      </c>
      <c r="O11" s="462">
        <f t="shared" si="0"/>
        <v>12.857142857142858</v>
      </c>
      <c r="P11" s="294">
        <v>45282</v>
      </c>
      <c r="Q11" s="294">
        <v>45282</v>
      </c>
      <c r="R11" s="463">
        <f t="shared" si="1"/>
        <v>46.571428571428569</v>
      </c>
      <c r="S11" s="464" t="str">
        <f t="shared" ca="1" si="2"/>
        <v>Alerta</v>
      </c>
      <c r="T11" s="465">
        <v>1</v>
      </c>
      <c r="U11" s="190">
        <f t="shared" si="3"/>
        <v>1</v>
      </c>
      <c r="V11" s="466">
        <f t="shared" si="4"/>
        <v>0</v>
      </c>
      <c r="W11" s="467" t="str">
        <f t="shared" si="7"/>
        <v>Incumple</v>
      </c>
      <c r="X11" s="293" t="s">
        <v>629</v>
      </c>
      <c r="Y11" s="293" t="s">
        <v>630</v>
      </c>
      <c r="Z11" s="341">
        <f t="shared" si="5"/>
        <v>0.5</v>
      </c>
      <c r="AA11" s="293"/>
      <c r="AB11" s="293"/>
      <c r="AC11" s="341">
        <f t="shared" si="6"/>
        <v>0.5</v>
      </c>
      <c r="AD11" s="305"/>
    </row>
    <row r="12" spans="1:30" ht="128.25">
      <c r="A12" s="300" t="s">
        <v>341</v>
      </c>
      <c r="B12" s="300" t="s">
        <v>583</v>
      </c>
      <c r="C12" s="300" t="s">
        <v>631</v>
      </c>
      <c r="D12" s="300" t="s">
        <v>632</v>
      </c>
      <c r="E12" s="300" t="s">
        <v>633</v>
      </c>
      <c r="F12" s="300" t="s">
        <v>634</v>
      </c>
      <c r="G12" s="300" t="s">
        <v>635</v>
      </c>
      <c r="H12" s="300">
        <v>1</v>
      </c>
      <c r="I12" s="293" t="s">
        <v>599</v>
      </c>
      <c r="J12" s="305" t="s">
        <v>600</v>
      </c>
      <c r="K12" s="293" t="s">
        <v>611</v>
      </c>
      <c r="L12" s="293" t="s">
        <v>636</v>
      </c>
      <c r="M12" s="460">
        <v>44866</v>
      </c>
      <c r="N12" s="460">
        <v>45000</v>
      </c>
      <c r="O12" s="462">
        <f t="shared" si="0"/>
        <v>19.142857142857142</v>
      </c>
      <c r="P12" s="294">
        <v>45282</v>
      </c>
      <c r="Q12" s="293"/>
      <c r="R12" s="463">
        <f t="shared" si="1"/>
        <v>40.285714285714292</v>
      </c>
      <c r="S12" s="464" t="str">
        <f t="shared" ca="1" si="2"/>
        <v>Alerta</v>
      </c>
      <c r="T12" s="468">
        <v>0.7</v>
      </c>
      <c r="U12" s="190">
        <f t="shared" si="3"/>
        <v>0.7</v>
      </c>
      <c r="V12" s="466">
        <f t="shared" si="4"/>
        <v>0</v>
      </c>
      <c r="W12" s="467" t="str">
        <f t="shared" si="7"/>
        <v>Incumple</v>
      </c>
      <c r="X12" s="293" t="s">
        <v>637</v>
      </c>
      <c r="Y12" s="293" t="s">
        <v>638</v>
      </c>
      <c r="Z12" s="341">
        <f t="shared" si="5"/>
        <v>0.35</v>
      </c>
      <c r="AA12" s="293"/>
      <c r="AB12" s="293"/>
      <c r="AC12" s="341">
        <f t="shared" si="6"/>
        <v>0.35</v>
      </c>
      <c r="AD12" s="305"/>
    </row>
    <row r="13" spans="1:30" ht="114">
      <c r="A13" s="300" t="s">
        <v>341</v>
      </c>
      <c r="B13" s="300" t="s">
        <v>583</v>
      </c>
      <c r="C13" s="300" t="s">
        <v>639</v>
      </c>
      <c r="D13" s="300" t="s">
        <v>640</v>
      </c>
      <c r="E13" s="300" t="s">
        <v>641</v>
      </c>
      <c r="F13" s="564" t="s">
        <v>642</v>
      </c>
      <c r="G13" s="300" t="s">
        <v>643</v>
      </c>
      <c r="H13" s="300">
        <v>1</v>
      </c>
      <c r="I13" s="293" t="s">
        <v>599</v>
      </c>
      <c r="J13" s="305" t="s">
        <v>600</v>
      </c>
      <c r="K13" s="293" t="s">
        <v>611</v>
      </c>
      <c r="L13" s="293" t="s">
        <v>644</v>
      </c>
      <c r="M13" s="460">
        <v>44866</v>
      </c>
      <c r="N13" s="460">
        <v>44972</v>
      </c>
      <c r="O13" s="462">
        <f t="shared" si="0"/>
        <v>15.142857142857142</v>
      </c>
      <c r="P13" s="294">
        <v>45282</v>
      </c>
      <c r="Q13" s="293"/>
      <c r="R13" s="463">
        <f t="shared" si="1"/>
        <v>44.285714285714292</v>
      </c>
      <c r="S13" s="464" t="str">
        <f t="shared" ca="1" si="2"/>
        <v>Alerta</v>
      </c>
      <c r="T13" s="465">
        <v>0.5</v>
      </c>
      <c r="U13" s="190">
        <f t="shared" si="3"/>
        <v>0.5</v>
      </c>
      <c r="V13" s="466">
        <f t="shared" si="4"/>
        <v>0</v>
      </c>
      <c r="W13" s="467" t="str">
        <f t="shared" si="7"/>
        <v>Incumple</v>
      </c>
      <c r="X13" s="293" t="s">
        <v>645</v>
      </c>
      <c r="Y13" s="293" t="s">
        <v>646</v>
      </c>
      <c r="Z13" s="341">
        <f t="shared" si="5"/>
        <v>0.25</v>
      </c>
      <c r="AA13" s="293"/>
      <c r="AB13" s="293"/>
      <c r="AC13" s="341">
        <f t="shared" si="6"/>
        <v>0.25</v>
      </c>
      <c r="AD13" s="305"/>
    </row>
    <row r="14" spans="1:30" ht="85.5">
      <c r="A14" s="300" t="s">
        <v>341</v>
      </c>
      <c r="B14" s="300" t="s">
        <v>583</v>
      </c>
      <c r="C14" s="300" t="s">
        <v>647</v>
      </c>
      <c r="D14" s="300" t="s">
        <v>648</v>
      </c>
      <c r="E14" s="300" t="s">
        <v>649</v>
      </c>
      <c r="F14" s="300" t="s">
        <v>650</v>
      </c>
      <c r="G14" s="300" t="s">
        <v>651</v>
      </c>
      <c r="H14" s="300">
        <v>2</v>
      </c>
      <c r="I14" s="293" t="s">
        <v>599</v>
      </c>
      <c r="J14" s="305" t="s">
        <v>600</v>
      </c>
      <c r="K14" s="305" t="s">
        <v>591</v>
      </c>
      <c r="L14" s="293" t="s">
        <v>652</v>
      </c>
      <c r="M14" s="460">
        <v>44866</v>
      </c>
      <c r="N14" s="460">
        <v>44956</v>
      </c>
      <c r="O14" s="462">
        <f t="shared" si="0"/>
        <v>12.857142857142858</v>
      </c>
      <c r="P14" s="460">
        <v>44955</v>
      </c>
      <c r="Q14" s="460">
        <v>44955</v>
      </c>
      <c r="R14" s="463">
        <f t="shared" si="1"/>
        <v>-0.14285714285714413</v>
      </c>
      <c r="S14" s="464" t="str">
        <f t="shared" ca="1" si="2"/>
        <v>Alerta</v>
      </c>
      <c r="T14" s="465">
        <v>2</v>
      </c>
      <c r="U14" s="190">
        <f t="shared" si="3"/>
        <v>1</v>
      </c>
      <c r="V14" s="466" t="str">
        <f t="shared" si="4"/>
        <v>100%</v>
      </c>
      <c r="W14" s="467" t="str">
        <f t="shared" si="7"/>
        <v>Cumple</v>
      </c>
      <c r="X14" s="293" t="s">
        <v>653</v>
      </c>
      <c r="Y14" s="293" t="s">
        <v>654</v>
      </c>
      <c r="Z14" s="341">
        <f t="shared" si="5"/>
        <v>1</v>
      </c>
      <c r="AA14" s="293"/>
      <c r="AB14" s="293"/>
      <c r="AC14" s="341">
        <f t="shared" si="6"/>
        <v>1</v>
      </c>
      <c r="AD14" s="305"/>
    </row>
    <row r="15" spans="1:30" ht="123" customHeight="1">
      <c r="A15" s="300" t="s">
        <v>341</v>
      </c>
      <c r="B15" s="300" t="s">
        <v>583</v>
      </c>
      <c r="C15" s="300" t="s">
        <v>655</v>
      </c>
      <c r="D15" s="300" t="s">
        <v>656</v>
      </c>
      <c r="E15" s="300" t="s">
        <v>657</v>
      </c>
      <c r="F15" s="565" t="s">
        <v>658</v>
      </c>
      <c r="G15" s="300" t="s">
        <v>659</v>
      </c>
      <c r="H15" s="469">
        <v>1</v>
      </c>
      <c r="I15" s="293" t="s">
        <v>660</v>
      </c>
      <c r="J15" s="305" t="s">
        <v>590</v>
      </c>
      <c r="K15" s="293" t="s">
        <v>591</v>
      </c>
      <c r="L15" s="293" t="s">
        <v>659</v>
      </c>
      <c r="M15" s="460">
        <v>44866</v>
      </c>
      <c r="N15" s="460">
        <v>45230</v>
      </c>
      <c r="O15" s="462">
        <f t="shared" si="0"/>
        <v>52</v>
      </c>
      <c r="P15" s="294">
        <v>45282</v>
      </c>
      <c r="Q15" s="293"/>
      <c r="R15" s="463">
        <f t="shared" si="1"/>
        <v>7.4285714285714306</v>
      </c>
      <c r="S15" s="464" t="str">
        <f t="shared" ca="1" si="2"/>
        <v>Alerta</v>
      </c>
      <c r="T15" s="465">
        <v>0</v>
      </c>
      <c r="U15" s="190">
        <f t="shared" si="3"/>
        <v>0</v>
      </c>
      <c r="V15" s="466">
        <f t="shared" si="4"/>
        <v>0.8571428571428571</v>
      </c>
      <c r="W15" s="467" t="str">
        <f t="shared" si="7"/>
        <v>Incumple</v>
      </c>
      <c r="X15" s="293" t="s">
        <v>661</v>
      </c>
      <c r="Y15" s="293" t="s">
        <v>662</v>
      </c>
      <c r="Z15" s="341">
        <f t="shared" si="5"/>
        <v>0.42857142857142855</v>
      </c>
      <c r="AA15" s="293"/>
      <c r="AB15" s="293"/>
      <c r="AC15" s="341">
        <f t="shared" si="6"/>
        <v>0.42857142857142855</v>
      </c>
      <c r="AD15" s="305"/>
    </row>
    <row r="16" spans="1:30" ht="142.5">
      <c r="A16" s="300" t="s">
        <v>341</v>
      </c>
      <c r="B16" s="300" t="s">
        <v>583</v>
      </c>
      <c r="C16" s="300" t="s">
        <v>663</v>
      </c>
      <c r="D16" s="300" t="s">
        <v>664</v>
      </c>
      <c r="E16" s="300" t="s">
        <v>665</v>
      </c>
      <c r="F16" s="564" t="s">
        <v>666</v>
      </c>
      <c r="G16" s="300" t="s">
        <v>667</v>
      </c>
      <c r="H16" s="300">
        <v>2</v>
      </c>
      <c r="I16" s="293" t="s">
        <v>668</v>
      </c>
      <c r="J16" s="305" t="s">
        <v>590</v>
      </c>
      <c r="K16" s="293" t="s">
        <v>611</v>
      </c>
      <c r="L16" s="293" t="s">
        <v>669</v>
      </c>
      <c r="M16" s="460">
        <v>44866</v>
      </c>
      <c r="N16" s="460">
        <v>45076</v>
      </c>
      <c r="O16" s="462">
        <f t="shared" si="0"/>
        <v>30</v>
      </c>
      <c r="P16" s="294">
        <v>45282</v>
      </c>
      <c r="Q16" s="293"/>
      <c r="R16" s="463">
        <f t="shared" si="1"/>
        <v>29.428571428571431</v>
      </c>
      <c r="S16" s="464" t="str">
        <f t="shared" ca="1" si="2"/>
        <v>Alerta</v>
      </c>
      <c r="T16" s="465">
        <v>1</v>
      </c>
      <c r="U16" s="190">
        <f t="shared" si="3"/>
        <v>0.5</v>
      </c>
      <c r="V16" s="466">
        <f t="shared" si="4"/>
        <v>1.904761904761898E-2</v>
      </c>
      <c r="W16" s="467" t="str">
        <f t="shared" si="7"/>
        <v>Incumple</v>
      </c>
      <c r="X16" s="293" t="s">
        <v>670</v>
      </c>
      <c r="Y16" s="293" t="s">
        <v>671</v>
      </c>
      <c r="Z16" s="341">
        <f t="shared" si="5"/>
        <v>0.25952380952380949</v>
      </c>
      <c r="AA16" s="293"/>
      <c r="AB16" s="293"/>
      <c r="AC16" s="341">
        <f t="shared" si="6"/>
        <v>0.25952380952380949</v>
      </c>
      <c r="AD16" s="305"/>
    </row>
    <row r="17" spans="1:30" ht="114">
      <c r="A17" s="300" t="s">
        <v>341</v>
      </c>
      <c r="B17" s="300" t="s">
        <v>583</v>
      </c>
      <c r="C17" s="300" t="s">
        <v>672</v>
      </c>
      <c r="D17" s="300" t="s">
        <v>673</v>
      </c>
      <c r="E17" s="300" t="s">
        <v>674</v>
      </c>
      <c r="F17" s="300" t="s">
        <v>675</v>
      </c>
      <c r="G17" s="300" t="s">
        <v>676</v>
      </c>
      <c r="H17" s="300">
        <v>1</v>
      </c>
      <c r="I17" s="293" t="s">
        <v>677</v>
      </c>
      <c r="J17" s="305" t="s">
        <v>590</v>
      </c>
      <c r="K17" s="305" t="s">
        <v>611</v>
      </c>
      <c r="L17" s="293" t="s">
        <v>678</v>
      </c>
      <c r="M17" s="460">
        <v>44866</v>
      </c>
      <c r="N17" s="460">
        <v>44910</v>
      </c>
      <c r="O17" s="462">
        <f t="shared" si="0"/>
        <v>6.2857142857142856</v>
      </c>
      <c r="P17" s="294">
        <v>45111</v>
      </c>
      <c r="Q17" s="294">
        <v>45109</v>
      </c>
      <c r="R17" s="463">
        <f t="shared" si="1"/>
        <v>28.714285714285715</v>
      </c>
      <c r="S17" s="464" t="str">
        <f t="shared" ca="1" si="2"/>
        <v>Alerta</v>
      </c>
      <c r="T17" s="465">
        <v>1</v>
      </c>
      <c r="U17" s="190">
        <f t="shared" si="3"/>
        <v>1</v>
      </c>
      <c r="V17" s="466">
        <f t="shared" si="4"/>
        <v>0</v>
      </c>
      <c r="W17" s="467" t="str">
        <f t="shared" si="7"/>
        <v>Incumple</v>
      </c>
      <c r="X17" s="293" t="s">
        <v>679</v>
      </c>
      <c r="Y17" s="293" t="s">
        <v>680</v>
      </c>
      <c r="Z17" s="341">
        <f t="shared" si="5"/>
        <v>0.5</v>
      </c>
      <c r="AA17" s="293"/>
      <c r="AB17" s="293"/>
      <c r="AC17" s="341">
        <f t="shared" si="6"/>
        <v>0.5</v>
      </c>
      <c r="AD17" s="305"/>
    </row>
    <row r="18" spans="1:30" ht="142.5">
      <c r="A18" s="300" t="s">
        <v>341</v>
      </c>
      <c r="B18" s="300" t="s">
        <v>583</v>
      </c>
      <c r="C18" s="300" t="s">
        <v>681</v>
      </c>
      <c r="D18" s="300" t="s">
        <v>682</v>
      </c>
      <c r="E18" s="300" t="s">
        <v>683</v>
      </c>
      <c r="F18" s="564" t="s">
        <v>684</v>
      </c>
      <c r="G18" s="300" t="s">
        <v>685</v>
      </c>
      <c r="H18" s="300">
        <v>3</v>
      </c>
      <c r="I18" s="293" t="s">
        <v>686</v>
      </c>
      <c r="J18" s="305" t="s">
        <v>590</v>
      </c>
      <c r="K18" s="293" t="s">
        <v>591</v>
      </c>
      <c r="L18" s="293" t="s">
        <v>687</v>
      </c>
      <c r="M18" s="460">
        <v>44866</v>
      </c>
      <c r="N18" s="460">
        <v>45230</v>
      </c>
      <c r="O18" s="462">
        <f t="shared" si="0"/>
        <v>52</v>
      </c>
      <c r="P18" s="294">
        <v>45282</v>
      </c>
      <c r="Q18" s="293"/>
      <c r="R18" s="463">
        <f t="shared" si="1"/>
        <v>7.4285714285714306</v>
      </c>
      <c r="S18" s="464" t="str">
        <f t="shared" ca="1" si="2"/>
        <v>Alerta</v>
      </c>
      <c r="T18" s="465">
        <v>0</v>
      </c>
      <c r="U18" s="190">
        <f t="shared" si="3"/>
        <v>0</v>
      </c>
      <c r="V18" s="466">
        <f t="shared" si="4"/>
        <v>0.8571428571428571</v>
      </c>
      <c r="W18" s="467" t="str">
        <f t="shared" si="7"/>
        <v>Incumple</v>
      </c>
      <c r="X18" s="293"/>
      <c r="Y18" s="293" t="s">
        <v>688</v>
      </c>
      <c r="Z18" s="341">
        <f t="shared" si="5"/>
        <v>0.42857142857142855</v>
      </c>
      <c r="AA18" s="293"/>
      <c r="AB18" s="293"/>
      <c r="AC18" s="341">
        <f t="shared" si="6"/>
        <v>0.42857142857142855</v>
      </c>
      <c r="AD18" s="305"/>
    </row>
    <row r="19" spans="1:30" ht="126" customHeight="1">
      <c r="A19" s="300" t="s">
        <v>341</v>
      </c>
      <c r="B19" s="300" t="s">
        <v>583</v>
      </c>
      <c r="C19" s="300" t="s">
        <v>689</v>
      </c>
      <c r="D19" s="300" t="s">
        <v>690</v>
      </c>
      <c r="E19" s="300" t="s">
        <v>691</v>
      </c>
      <c r="F19" s="300" t="s">
        <v>692</v>
      </c>
      <c r="G19" s="300" t="s">
        <v>693</v>
      </c>
      <c r="H19" s="300">
        <v>1</v>
      </c>
      <c r="I19" s="293" t="s">
        <v>694</v>
      </c>
      <c r="J19" s="305" t="s">
        <v>695</v>
      </c>
      <c r="K19" s="305" t="s">
        <v>611</v>
      </c>
      <c r="L19" s="293" t="s">
        <v>696</v>
      </c>
      <c r="M19" s="460">
        <v>44866</v>
      </c>
      <c r="N19" s="460">
        <v>45230</v>
      </c>
      <c r="O19" s="462">
        <f t="shared" si="0"/>
        <v>52</v>
      </c>
      <c r="P19" s="294">
        <v>45111</v>
      </c>
      <c r="Q19" s="294">
        <v>45111</v>
      </c>
      <c r="R19" s="463">
        <f t="shared" si="1"/>
        <v>-17</v>
      </c>
      <c r="S19" s="464" t="str">
        <f t="shared" ca="1" si="2"/>
        <v>Alerta</v>
      </c>
      <c r="T19" s="465">
        <v>1</v>
      </c>
      <c r="U19" s="190">
        <f t="shared" si="3"/>
        <v>1</v>
      </c>
      <c r="V19" s="466" t="str">
        <f t="shared" si="4"/>
        <v>100%</v>
      </c>
      <c r="W19" s="467" t="str">
        <f t="shared" si="7"/>
        <v>Cumple</v>
      </c>
      <c r="X19" s="293" t="s">
        <v>697</v>
      </c>
      <c r="Y19" s="293" t="s">
        <v>698</v>
      </c>
      <c r="Z19" s="341">
        <f t="shared" si="5"/>
        <v>1</v>
      </c>
      <c r="AA19" s="293"/>
      <c r="AB19" s="293"/>
      <c r="AC19" s="341">
        <f t="shared" si="6"/>
        <v>1</v>
      </c>
      <c r="AD19" s="305"/>
    </row>
    <row r="20" spans="1:30" ht="228">
      <c r="A20" s="300" t="s">
        <v>341</v>
      </c>
      <c r="B20" s="300" t="s">
        <v>583</v>
      </c>
      <c r="C20" s="300" t="s">
        <v>699</v>
      </c>
      <c r="D20" s="300" t="s">
        <v>700</v>
      </c>
      <c r="E20" s="300" t="s">
        <v>701</v>
      </c>
      <c r="F20" s="564" t="s">
        <v>702</v>
      </c>
      <c r="G20" s="300" t="s">
        <v>703</v>
      </c>
      <c r="H20" s="469">
        <v>1</v>
      </c>
      <c r="I20" s="293" t="s">
        <v>704</v>
      </c>
      <c r="J20" s="305" t="s">
        <v>590</v>
      </c>
      <c r="K20" s="293" t="s">
        <v>591</v>
      </c>
      <c r="L20" s="293" t="s">
        <v>705</v>
      </c>
      <c r="M20" s="460">
        <v>44866</v>
      </c>
      <c r="N20" s="460">
        <v>44910</v>
      </c>
      <c r="O20" s="462">
        <f t="shared" si="0"/>
        <v>6.2857142857142856</v>
      </c>
      <c r="P20" s="294">
        <v>45282</v>
      </c>
      <c r="Q20" s="293"/>
      <c r="R20" s="463">
        <f t="shared" si="1"/>
        <v>53.142857142857146</v>
      </c>
      <c r="S20" s="464" t="str">
        <f t="shared" ca="1" si="2"/>
        <v>Alerta</v>
      </c>
      <c r="T20" s="465">
        <v>0.5</v>
      </c>
      <c r="U20" s="190">
        <f t="shared" si="3"/>
        <v>0.5</v>
      </c>
      <c r="V20" s="466">
        <f t="shared" si="4"/>
        <v>0</v>
      </c>
      <c r="W20" s="467" t="str">
        <f t="shared" si="7"/>
        <v>Incumple</v>
      </c>
      <c r="X20" s="293" t="s">
        <v>706</v>
      </c>
      <c r="Y20" s="293" t="s">
        <v>707</v>
      </c>
      <c r="Z20" s="341">
        <f t="shared" si="5"/>
        <v>0.25</v>
      </c>
      <c r="AA20" s="293"/>
      <c r="AB20" s="293"/>
      <c r="AC20" s="341">
        <f t="shared" si="6"/>
        <v>0.25</v>
      </c>
      <c r="AD20" s="305"/>
    </row>
    <row r="21" spans="1:30" ht="185.25">
      <c r="A21" s="300" t="s">
        <v>341</v>
      </c>
      <c r="B21" s="300" t="s">
        <v>583</v>
      </c>
      <c r="C21" s="300" t="s">
        <v>708</v>
      </c>
      <c r="D21" s="300" t="s">
        <v>709</v>
      </c>
      <c r="E21" s="300" t="s">
        <v>710</v>
      </c>
      <c r="F21" s="564" t="s">
        <v>711</v>
      </c>
      <c r="G21" s="300" t="s">
        <v>712</v>
      </c>
      <c r="H21" s="469">
        <v>1</v>
      </c>
      <c r="I21" s="293" t="s">
        <v>713</v>
      </c>
      <c r="J21" s="305" t="s">
        <v>600</v>
      </c>
      <c r="K21" s="293" t="s">
        <v>591</v>
      </c>
      <c r="L21" s="293" t="s">
        <v>714</v>
      </c>
      <c r="M21" s="460">
        <v>44866</v>
      </c>
      <c r="N21" s="460">
        <v>45000</v>
      </c>
      <c r="O21" s="462">
        <f t="shared" si="0"/>
        <v>19.142857142857142</v>
      </c>
      <c r="P21" s="294">
        <v>45282</v>
      </c>
      <c r="Q21" s="293"/>
      <c r="R21" s="463">
        <f t="shared" si="1"/>
        <v>40.285714285714292</v>
      </c>
      <c r="S21" s="464" t="str">
        <f t="shared" ca="1" si="2"/>
        <v>Alerta</v>
      </c>
      <c r="T21" s="465">
        <v>1</v>
      </c>
      <c r="U21" s="190">
        <f t="shared" si="3"/>
        <v>1</v>
      </c>
      <c r="V21" s="466">
        <f t="shared" si="4"/>
        <v>0</v>
      </c>
      <c r="W21" s="467" t="str">
        <f t="shared" si="7"/>
        <v>Incumple</v>
      </c>
      <c r="X21" s="293" t="s">
        <v>715</v>
      </c>
      <c r="Y21" s="293" t="s">
        <v>716</v>
      </c>
      <c r="Z21" s="341">
        <f t="shared" si="5"/>
        <v>0.5</v>
      </c>
      <c r="AA21" s="293"/>
      <c r="AB21" s="293"/>
      <c r="AC21" s="341">
        <f t="shared" si="6"/>
        <v>0.5</v>
      </c>
      <c r="AD21" s="305"/>
    </row>
    <row r="22" spans="1:30" ht="185.25">
      <c r="A22" s="300" t="s">
        <v>341</v>
      </c>
      <c r="B22" s="300" t="s">
        <v>583</v>
      </c>
      <c r="C22" s="300" t="s">
        <v>717</v>
      </c>
      <c r="D22" s="300" t="s">
        <v>718</v>
      </c>
      <c r="E22" s="300" t="s">
        <v>719</v>
      </c>
      <c r="F22" s="564" t="s">
        <v>720</v>
      </c>
      <c r="G22" s="300" t="s">
        <v>721</v>
      </c>
      <c r="H22" s="300">
        <v>3</v>
      </c>
      <c r="I22" s="293" t="s">
        <v>722</v>
      </c>
      <c r="J22" s="305" t="s">
        <v>695</v>
      </c>
      <c r="K22" s="293" t="s">
        <v>591</v>
      </c>
      <c r="L22" s="293" t="s">
        <v>723</v>
      </c>
      <c r="M22" s="460">
        <v>44866</v>
      </c>
      <c r="N22" s="460">
        <v>45092</v>
      </c>
      <c r="O22" s="462">
        <f t="shared" si="0"/>
        <v>32.285714285714285</v>
      </c>
      <c r="P22" s="294">
        <v>45282</v>
      </c>
      <c r="Q22" s="293"/>
      <c r="R22" s="463">
        <f t="shared" si="1"/>
        <v>27.142857142857146</v>
      </c>
      <c r="S22" s="464" t="str">
        <f t="shared" ca="1" si="2"/>
        <v>Alerta</v>
      </c>
      <c r="T22" s="465">
        <v>0</v>
      </c>
      <c r="U22" s="190">
        <f t="shared" si="3"/>
        <v>0</v>
      </c>
      <c r="V22" s="466">
        <f t="shared" si="4"/>
        <v>0.15929203539823</v>
      </c>
      <c r="W22" s="467" t="str">
        <f t="shared" si="7"/>
        <v>Incumple</v>
      </c>
      <c r="X22" s="293"/>
      <c r="Y22" s="293" t="s">
        <v>724</v>
      </c>
      <c r="Z22" s="341">
        <f t="shared" si="5"/>
        <v>7.9646017699115002E-2</v>
      </c>
      <c r="AA22" s="293"/>
      <c r="AB22" s="293"/>
      <c r="AC22" s="341">
        <f t="shared" si="6"/>
        <v>7.9646017699115002E-2</v>
      </c>
      <c r="AD22" s="305"/>
    </row>
    <row r="23" spans="1:30" ht="213.75">
      <c r="A23" s="300" t="s">
        <v>341</v>
      </c>
      <c r="B23" s="300" t="s">
        <v>583</v>
      </c>
      <c r="C23" s="300" t="s">
        <v>725</v>
      </c>
      <c r="D23" s="300" t="s">
        <v>726</v>
      </c>
      <c r="E23" s="300" t="s">
        <v>727</v>
      </c>
      <c r="F23" s="564" t="s">
        <v>728</v>
      </c>
      <c r="G23" s="300" t="s">
        <v>729</v>
      </c>
      <c r="H23" s="300">
        <v>1</v>
      </c>
      <c r="I23" s="293" t="s">
        <v>730</v>
      </c>
      <c r="J23" s="305" t="s">
        <v>695</v>
      </c>
      <c r="K23" s="293" t="s">
        <v>611</v>
      </c>
      <c r="L23" s="293" t="s">
        <v>731</v>
      </c>
      <c r="M23" s="460">
        <v>44866</v>
      </c>
      <c r="N23" s="460">
        <v>45083</v>
      </c>
      <c r="O23" s="462">
        <f t="shared" si="0"/>
        <v>31</v>
      </c>
      <c r="P23" s="294">
        <v>45282</v>
      </c>
      <c r="Q23" s="293"/>
      <c r="R23" s="463">
        <f t="shared" si="1"/>
        <v>28.428571428571431</v>
      </c>
      <c r="S23" s="464" t="str">
        <f t="shared" ca="1" si="2"/>
        <v>Alerta</v>
      </c>
      <c r="T23" s="465">
        <v>0.1</v>
      </c>
      <c r="U23" s="190">
        <f t="shared" si="3"/>
        <v>0.1</v>
      </c>
      <c r="V23" s="466">
        <f t="shared" si="4"/>
        <v>8.2949308755760343E-2</v>
      </c>
      <c r="W23" s="467" t="str">
        <f t="shared" si="7"/>
        <v>Incumple</v>
      </c>
      <c r="X23" s="293" t="s">
        <v>732</v>
      </c>
      <c r="Y23" s="293" t="s">
        <v>733</v>
      </c>
      <c r="Z23" s="341">
        <f t="shared" si="5"/>
        <v>9.1474654377880174E-2</v>
      </c>
      <c r="AA23" s="293"/>
      <c r="AB23" s="293"/>
      <c r="AC23" s="341">
        <f t="shared" si="6"/>
        <v>9.1474654377880174E-2</v>
      </c>
      <c r="AD23" s="305"/>
    </row>
    <row r="24" spans="1:30" ht="142.5">
      <c r="A24" s="300" t="s">
        <v>341</v>
      </c>
      <c r="B24" s="300" t="s">
        <v>583</v>
      </c>
      <c r="C24" s="300" t="s">
        <v>734</v>
      </c>
      <c r="D24" s="300" t="s">
        <v>735</v>
      </c>
      <c r="E24" s="300" t="s">
        <v>736</v>
      </c>
      <c r="F24" s="564" t="s">
        <v>737</v>
      </c>
      <c r="G24" s="300" t="s">
        <v>738</v>
      </c>
      <c r="H24" s="300">
        <v>1</v>
      </c>
      <c r="I24" s="293" t="s">
        <v>739</v>
      </c>
      <c r="J24" s="305" t="s">
        <v>695</v>
      </c>
      <c r="K24" s="293" t="s">
        <v>611</v>
      </c>
      <c r="L24" s="293" t="s">
        <v>740</v>
      </c>
      <c r="M24" s="460">
        <v>44866</v>
      </c>
      <c r="N24" s="460">
        <v>45230</v>
      </c>
      <c r="O24" s="462">
        <f t="shared" si="0"/>
        <v>52</v>
      </c>
      <c r="P24" s="294">
        <v>45282</v>
      </c>
      <c r="Q24" s="293"/>
      <c r="R24" s="463">
        <f t="shared" si="1"/>
        <v>7.4285714285714306</v>
      </c>
      <c r="S24" s="464" t="str">
        <f t="shared" ca="1" si="2"/>
        <v>Alerta</v>
      </c>
      <c r="T24" s="465">
        <v>0</v>
      </c>
      <c r="U24" s="190">
        <f t="shared" si="3"/>
        <v>0</v>
      </c>
      <c r="V24" s="466">
        <f t="shared" si="4"/>
        <v>0.8571428571428571</v>
      </c>
      <c r="W24" s="467" t="str">
        <f t="shared" si="7"/>
        <v>Incumple</v>
      </c>
      <c r="X24" s="293"/>
      <c r="Y24" s="293" t="s">
        <v>724</v>
      </c>
      <c r="Z24" s="341">
        <f t="shared" si="5"/>
        <v>0.42857142857142855</v>
      </c>
      <c r="AA24" s="293"/>
      <c r="AB24" s="293"/>
      <c r="AC24" s="341">
        <f t="shared" si="6"/>
        <v>0.42857142857142855</v>
      </c>
      <c r="AD24" s="305"/>
    </row>
    <row r="25" spans="1:30" ht="156.75">
      <c r="A25" s="300" t="s">
        <v>341</v>
      </c>
      <c r="B25" s="300" t="s">
        <v>583</v>
      </c>
      <c r="C25" s="300" t="s">
        <v>741</v>
      </c>
      <c r="D25" s="300" t="s">
        <v>742</v>
      </c>
      <c r="E25" s="300" t="s">
        <v>743</v>
      </c>
      <c r="F25" s="564" t="s">
        <v>744</v>
      </c>
      <c r="G25" s="300" t="s">
        <v>745</v>
      </c>
      <c r="H25" s="300">
        <v>2</v>
      </c>
      <c r="I25" s="293" t="s">
        <v>746</v>
      </c>
      <c r="J25" s="305" t="s">
        <v>600</v>
      </c>
      <c r="K25" s="293" t="s">
        <v>591</v>
      </c>
      <c r="L25" s="293" t="s">
        <v>747</v>
      </c>
      <c r="M25" s="460">
        <v>44866</v>
      </c>
      <c r="N25" s="460">
        <v>45092</v>
      </c>
      <c r="O25" s="462">
        <f t="shared" si="0"/>
        <v>32.285714285714285</v>
      </c>
      <c r="P25" s="294">
        <v>45282</v>
      </c>
      <c r="Q25" s="293"/>
      <c r="R25" s="463">
        <f t="shared" si="1"/>
        <v>27.142857142857146</v>
      </c>
      <c r="S25" s="464" t="str">
        <f t="shared" ca="1" si="2"/>
        <v>Alerta</v>
      </c>
      <c r="T25" s="465">
        <v>1</v>
      </c>
      <c r="U25" s="190">
        <f t="shared" si="3"/>
        <v>0.5</v>
      </c>
      <c r="V25" s="466">
        <f t="shared" si="4"/>
        <v>0.15929203539823</v>
      </c>
      <c r="W25" s="467" t="str">
        <f t="shared" si="7"/>
        <v>Incumple</v>
      </c>
      <c r="X25" s="293" t="s">
        <v>748</v>
      </c>
      <c r="Y25" s="293" t="s">
        <v>749</v>
      </c>
      <c r="Z25" s="341">
        <f t="shared" si="5"/>
        <v>0.329646017699115</v>
      </c>
      <c r="AA25" s="293"/>
      <c r="AB25" s="293"/>
      <c r="AC25" s="341">
        <f t="shared" si="6"/>
        <v>0.329646017699115</v>
      </c>
      <c r="AD25" s="305"/>
    </row>
    <row r="26" spans="1:30" ht="156.75">
      <c r="A26" s="305" t="s">
        <v>341</v>
      </c>
      <c r="B26" s="305" t="s">
        <v>583</v>
      </c>
      <c r="C26" s="293" t="s">
        <v>750</v>
      </c>
      <c r="D26" s="293" t="s">
        <v>751</v>
      </c>
      <c r="E26" s="293" t="s">
        <v>752</v>
      </c>
      <c r="F26" s="564" t="s">
        <v>753</v>
      </c>
      <c r="G26" s="293" t="s">
        <v>754</v>
      </c>
      <c r="H26" s="305">
        <v>2</v>
      </c>
      <c r="I26" s="293" t="s">
        <v>755</v>
      </c>
      <c r="J26" s="305" t="s">
        <v>600</v>
      </c>
      <c r="K26" s="305" t="s">
        <v>611</v>
      </c>
      <c r="L26" s="293" t="s">
        <v>756</v>
      </c>
      <c r="M26" s="460">
        <v>44866</v>
      </c>
      <c r="N26" s="460">
        <v>45230</v>
      </c>
      <c r="O26" s="462">
        <f t="shared" si="0"/>
        <v>52</v>
      </c>
      <c r="P26" s="294">
        <v>45282</v>
      </c>
      <c r="Q26" s="293"/>
      <c r="R26" s="463">
        <f t="shared" si="1"/>
        <v>7.4285714285714306</v>
      </c>
      <c r="S26" s="464" t="str">
        <f t="shared" ca="1" si="2"/>
        <v>Alerta</v>
      </c>
      <c r="T26" s="465">
        <v>0</v>
      </c>
      <c r="U26" s="190">
        <f t="shared" si="3"/>
        <v>0</v>
      </c>
      <c r="V26" s="466">
        <f t="shared" si="4"/>
        <v>0.8571428571428571</v>
      </c>
      <c r="W26" s="467" t="str">
        <f t="shared" si="7"/>
        <v>Incumple</v>
      </c>
      <c r="X26" s="293"/>
      <c r="Y26" s="293" t="s">
        <v>757</v>
      </c>
      <c r="Z26" s="341">
        <f t="shared" si="5"/>
        <v>0.42857142857142855</v>
      </c>
      <c r="AA26" s="293"/>
      <c r="AB26" s="293"/>
      <c r="AC26" s="341">
        <f t="shared" si="6"/>
        <v>0.42857142857142855</v>
      </c>
      <c r="AD26" s="305"/>
    </row>
    <row r="27" spans="1:30" ht="282" customHeight="1">
      <c r="A27" s="305" t="s">
        <v>341</v>
      </c>
      <c r="B27" s="305" t="s">
        <v>583</v>
      </c>
      <c r="C27" s="293" t="s">
        <v>758</v>
      </c>
      <c r="D27" s="293" t="s">
        <v>759</v>
      </c>
      <c r="E27" s="293" t="s">
        <v>760</v>
      </c>
      <c r="F27" s="293" t="s">
        <v>761</v>
      </c>
      <c r="G27" s="293" t="s">
        <v>762</v>
      </c>
      <c r="H27" s="305">
        <v>1</v>
      </c>
      <c r="I27" s="293" t="s">
        <v>763</v>
      </c>
      <c r="J27" s="305" t="s">
        <v>600</v>
      </c>
      <c r="K27" s="305" t="s">
        <v>591</v>
      </c>
      <c r="L27" s="293" t="s">
        <v>762</v>
      </c>
      <c r="M27" s="460">
        <v>44866</v>
      </c>
      <c r="N27" s="460">
        <v>44956</v>
      </c>
      <c r="O27" s="462">
        <f t="shared" si="0"/>
        <v>12.857142857142858</v>
      </c>
      <c r="P27" s="294">
        <v>45282</v>
      </c>
      <c r="Q27" s="293"/>
      <c r="R27" s="463">
        <f t="shared" si="1"/>
        <v>46.571428571428569</v>
      </c>
      <c r="S27" s="464" t="str">
        <f t="shared" ca="1" si="2"/>
        <v>Alerta</v>
      </c>
      <c r="T27" s="465">
        <v>0.8</v>
      </c>
      <c r="U27" s="190">
        <f t="shared" si="3"/>
        <v>0.8</v>
      </c>
      <c r="V27" s="466">
        <f t="shared" si="4"/>
        <v>0</v>
      </c>
      <c r="W27" s="467" t="str">
        <f t="shared" si="7"/>
        <v>Incumple</v>
      </c>
      <c r="X27" s="293" t="s">
        <v>764</v>
      </c>
      <c r="Y27" s="293" t="s">
        <v>765</v>
      </c>
      <c r="Z27" s="341">
        <f t="shared" si="5"/>
        <v>0.4</v>
      </c>
      <c r="AA27" s="293"/>
      <c r="AB27" s="293"/>
      <c r="AC27" s="341">
        <f t="shared" si="6"/>
        <v>0.4</v>
      </c>
      <c r="AD27" s="305"/>
    </row>
    <row r="28" spans="1:30" ht="15.75" thickBot="1">
      <c r="G28" s="327" t="s">
        <v>153</v>
      </c>
      <c r="H28" s="462">
        <f>SUM(H7:H27)</f>
        <v>30</v>
      </c>
      <c r="Q28" s="678" t="s">
        <v>154</v>
      </c>
      <c r="R28" s="678"/>
      <c r="S28" s="678"/>
      <c r="T28" s="462">
        <f>SUM(T9:T27)</f>
        <v>11.1</v>
      </c>
      <c r="U28" s="161">
        <f>AVERAGE(U7:U27)</f>
        <v>0.48095238095238091</v>
      </c>
      <c r="V28" s="470" t="s">
        <v>43</v>
      </c>
      <c r="W28" s="471">
        <f>(COUNTIF(W7:W27,"Cumple"))/COUNTA(W7:W27)</f>
        <v>0.14285714285714285</v>
      </c>
      <c r="Z28" s="678" t="s">
        <v>154</v>
      </c>
      <c r="AA28" s="678"/>
      <c r="AB28" s="678"/>
      <c r="AC28" s="471">
        <f>AVERAGE(AC7:AC27)</f>
        <v>0.42395941153128874</v>
      </c>
      <c r="AD28" s="64"/>
    </row>
  </sheetData>
  <autoFilter ref="A6:AD6" xr:uid="{D2C6733B-E0B2-48EB-8940-3FD933212DCC}"/>
  <mergeCells count="29">
    <mergeCell ref="Z28:AB28"/>
    <mergeCell ref="Q28:S28"/>
    <mergeCell ref="A5:N5"/>
    <mergeCell ref="O5:Y5"/>
    <mergeCell ref="Z5:AD5"/>
    <mergeCell ref="T4:U4"/>
    <mergeCell ref="V4:Y4"/>
    <mergeCell ref="A4:B4"/>
    <mergeCell ref="C4:F4"/>
    <mergeCell ref="G4:H4"/>
    <mergeCell ref="I4:N4"/>
    <mergeCell ref="O4:P4"/>
    <mergeCell ref="Q4:S4"/>
    <mergeCell ref="O1:P2"/>
    <mergeCell ref="Q1:Y2"/>
    <mergeCell ref="W3:X3"/>
    <mergeCell ref="Z1:AD4"/>
    <mergeCell ref="A2:B2"/>
    <mergeCell ref="C2:F2"/>
    <mergeCell ref="G2:H2"/>
    <mergeCell ref="I2:N2"/>
    <mergeCell ref="Q3:V3"/>
    <mergeCell ref="A1:B1"/>
    <mergeCell ref="C1:N1"/>
    <mergeCell ref="A3:B3"/>
    <mergeCell ref="C3:F3"/>
    <mergeCell ref="G3:H3"/>
    <mergeCell ref="I3:N3"/>
    <mergeCell ref="O3:P3"/>
  </mergeCells>
  <conditionalFormatting sqref="R7:R27">
    <cfRule type="cellIs" dxfId="381" priority="32" operator="greaterThan">
      <formula>0</formula>
    </cfRule>
    <cfRule type="cellIs" dxfId="380" priority="33" operator="lessThan">
      <formula>0</formula>
    </cfRule>
  </conditionalFormatting>
  <conditionalFormatting sqref="S7:S27">
    <cfRule type="containsText" dxfId="379" priority="30" operator="containsText" text="Alerta">
      <formula>NOT(ISERROR(SEARCH("Alerta",S7)))</formula>
    </cfRule>
    <cfRule type="containsText" dxfId="378" priority="31" operator="containsText" text="En tiempo">
      <formula>NOT(ISERROR(SEARCH("En tiempo",S7)))</formula>
    </cfRule>
  </conditionalFormatting>
  <conditionalFormatting sqref="U7:U28">
    <cfRule type="cellIs" dxfId="377" priority="9" stopIfTrue="1" operator="between">
      <formula>0.8</formula>
      <formula>1</formula>
    </cfRule>
    <cfRule type="cellIs" dxfId="376" priority="10" stopIfTrue="1" operator="between">
      <formula>0.5</formula>
      <formula>0.79</formula>
    </cfRule>
    <cfRule type="cellIs" dxfId="375" priority="11" stopIfTrue="1" operator="between">
      <formula>0.3</formula>
      <formula>0.49</formula>
    </cfRule>
    <cfRule type="cellIs" dxfId="374" priority="12" stopIfTrue="1" operator="between">
      <formula>0</formula>
      <formula>0.29</formula>
    </cfRule>
  </conditionalFormatting>
  <conditionalFormatting sqref="V7:V27">
    <cfRule type="cellIs" dxfId="373" priority="24" operator="between">
      <formula>0.19</formula>
      <formula>0</formula>
    </cfRule>
    <cfRule type="cellIs" dxfId="372" priority="25" operator="between">
      <formula>0.49</formula>
      <formula>0.2</formula>
    </cfRule>
    <cfRule type="cellIs" dxfId="371" priority="26" operator="between">
      <formula>0.89</formula>
      <formula>0.5</formula>
    </cfRule>
    <cfRule type="cellIs" dxfId="370" priority="27" operator="between">
      <formula>1</formula>
      <formula>0.9</formula>
    </cfRule>
  </conditionalFormatting>
  <conditionalFormatting sqref="W7:W27">
    <cfRule type="containsText" dxfId="369" priority="28" operator="containsText" text="Incumple">
      <formula>NOT(ISERROR(SEARCH("Incumple",W7)))</formula>
    </cfRule>
    <cfRule type="containsText" dxfId="368" priority="29" operator="containsText" text="Cumple">
      <formula>NOT(ISERROR(SEARCH("Cumple",W7)))</formula>
    </cfRule>
  </conditionalFormatting>
  <conditionalFormatting sqref="W28">
    <cfRule type="cellIs" dxfId="367" priority="16" operator="between">
      <formula>0.19</formula>
      <formula>0</formula>
    </cfRule>
    <cfRule type="cellIs" dxfId="366" priority="17" operator="between">
      <formula>0.49</formula>
      <formula>0.2</formula>
    </cfRule>
    <cfRule type="cellIs" dxfId="365" priority="18" operator="between">
      <formula>0.89</formula>
      <formula>0.5</formula>
    </cfRule>
    <cfRule type="cellIs" dxfId="364" priority="19" operator="between">
      <formula>1</formula>
      <formula>0.9</formula>
    </cfRule>
  </conditionalFormatting>
  <conditionalFormatting sqref="Z7:Z27">
    <cfRule type="cellIs" dxfId="363" priority="5" operator="between">
      <formula>0.19</formula>
      <formula>0</formula>
    </cfRule>
    <cfRule type="cellIs" dxfId="362" priority="6" operator="between">
      <formula>0.49</formula>
      <formula>0.2</formula>
    </cfRule>
    <cfRule type="cellIs" dxfId="361" priority="7" operator="between">
      <formula>0.89</formula>
      <formula>0.5</formula>
    </cfRule>
    <cfRule type="cellIs" dxfId="360" priority="8" operator="between">
      <formula>1</formula>
      <formula>0.9</formula>
    </cfRule>
  </conditionalFormatting>
  <conditionalFormatting sqref="AC7:AC27">
    <cfRule type="cellIs" dxfId="359" priority="1" operator="between">
      <formula>0.19</formula>
      <formula>0</formula>
    </cfRule>
    <cfRule type="cellIs" dxfId="358" priority="2" operator="between">
      <formula>0.49</formula>
      <formula>0.2</formula>
    </cfRule>
    <cfRule type="cellIs" dxfId="357" priority="3" operator="between">
      <formula>0.89</formula>
      <formula>0.5</formula>
    </cfRule>
    <cfRule type="cellIs" dxfId="356" priority="4" operator="between">
      <formula>1</formula>
      <formula>0.9</formula>
    </cfRule>
  </conditionalFormatting>
  <conditionalFormatting sqref="AC28">
    <cfRule type="cellIs" dxfId="355" priority="13" operator="between">
      <formula>0.3</formula>
      <formula>0</formula>
    </cfRule>
    <cfRule type="cellIs" dxfId="354" priority="14" operator="between">
      <formula>0.6999</formula>
      <formula>0.3111</formula>
    </cfRule>
    <cfRule type="cellIs" dxfId="353" priority="15" operator="between">
      <formula>1</formula>
      <formula>0.7</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AW31"/>
  <sheetViews>
    <sheetView topLeftCell="K1" zoomScale="25" zoomScaleNormal="25" zoomScaleSheetLayoutView="49" workbookViewId="0">
      <selection activeCell="P1" sqref="P1:Q1048576"/>
    </sheetView>
  </sheetViews>
  <sheetFormatPr defaultColWidth="17.5703125" defaultRowHeight="12.75"/>
  <cols>
    <col min="1" max="1" width="13.5703125" style="53" customWidth="1"/>
    <col min="2" max="2" width="18.5703125" style="53" customWidth="1"/>
    <col min="3" max="3" width="52.28515625" style="53" customWidth="1"/>
    <col min="4" max="4" width="34.5703125" style="53" customWidth="1"/>
    <col min="5" max="5" width="36.7109375" style="53" customWidth="1"/>
    <col min="6" max="6" width="32.140625" style="53" customWidth="1"/>
    <col min="7" max="7" width="32.85546875" style="53" customWidth="1"/>
    <col min="8" max="8" width="15.5703125" style="53" customWidth="1"/>
    <col min="9" max="9" width="26.5703125" style="53" customWidth="1"/>
    <col min="10" max="10" width="23.140625" style="53" customWidth="1"/>
    <col min="11" max="11" width="21.42578125" style="53" customWidth="1"/>
    <col min="12" max="12" width="20.5703125" style="53" customWidth="1"/>
    <col min="13" max="14" width="16.140625" style="53" customWidth="1"/>
    <col min="15" max="15" width="12" style="53" customWidth="1"/>
    <col min="16" max="17" width="14.85546875" style="53" customWidth="1"/>
    <col min="18" max="18" width="11.5703125" style="53" customWidth="1"/>
    <col min="19" max="19" width="11.140625" style="53" customWidth="1"/>
    <col min="20" max="20" width="15" style="53" customWidth="1"/>
    <col min="21" max="21" width="16.5703125" style="53" customWidth="1"/>
    <col min="22" max="22" width="19.28515625" style="53" customWidth="1"/>
    <col min="23" max="23" width="16.7109375" style="53" customWidth="1"/>
    <col min="24" max="24" width="70.85546875" style="53" customWidth="1"/>
    <col min="25" max="25" width="97.5703125" style="53" customWidth="1"/>
    <col min="26" max="26" width="19.140625" style="53" customWidth="1"/>
    <col min="27" max="28" width="18" style="53" customWidth="1"/>
    <col min="29" max="29" width="17.85546875" style="53" customWidth="1"/>
    <col min="30" max="30" width="72.42578125" style="53" customWidth="1"/>
    <col min="31" max="41" width="17.5703125" style="53"/>
    <col min="42" max="42" width="28.5703125" style="53" hidden="1" customWidth="1"/>
    <col min="43" max="43" width="42" style="53" hidden="1" customWidth="1"/>
    <col min="44" max="44" width="17.5703125" style="53" hidden="1" customWidth="1"/>
    <col min="45" max="45" width="51.42578125" style="53" hidden="1" customWidth="1"/>
    <col min="46" max="46" width="8.5703125" style="53" hidden="1" customWidth="1"/>
    <col min="47" max="47" width="7.140625" style="53" hidden="1" customWidth="1"/>
    <col min="48" max="48" width="20.85546875" style="53" hidden="1" customWidth="1"/>
    <col min="49" max="49" width="17.5703125" style="53" hidden="1" customWidth="1"/>
    <col min="50" max="50" width="22.42578125" style="53" customWidth="1"/>
    <col min="51" max="16384" width="17.5703125" style="53"/>
  </cols>
  <sheetData>
    <row r="1" spans="1:30" ht="105.6" customHeight="1" thickBot="1">
      <c r="A1" s="713" t="s">
        <v>0</v>
      </c>
      <c r="B1" s="713"/>
      <c r="C1" s="713" t="s">
        <v>155</v>
      </c>
      <c r="D1" s="713"/>
      <c r="E1" s="713"/>
      <c r="F1" s="713"/>
      <c r="G1" s="713"/>
      <c r="H1" s="713"/>
      <c r="I1" s="713"/>
      <c r="J1" s="713"/>
      <c r="K1" s="713"/>
      <c r="L1" s="713"/>
      <c r="M1" s="713"/>
      <c r="N1" s="713"/>
      <c r="O1" s="713"/>
      <c r="P1" s="713"/>
      <c r="Q1" s="713" t="s">
        <v>1</v>
      </c>
      <c r="R1" s="713"/>
      <c r="S1" s="713"/>
      <c r="T1" s="713"/>
      <c r="U1" s="713"/>
      <c r="V1" s="713"/>
      <c r="W1" s="713"/>
      <c r="X1" s="713"/>
      <c r="Y1" s="713"/>
      <c r="Z1" s="713" t="s">
        <v>1</v>
      </c>
      <c r="AA1" s="713"/>
      <c r="AB1" s="713"/>
      <c r="AC1" s="713"/>
      <c r="AD1" s="713"/>
    </row>
    <row r="2" spans="1:30" ht="20.100000000000001" customHeight="1" thickBot="1">
      <c r="A2" s="713" t="s">
        <v>2</v>
      </c>
      <c r="B2" s="713"/>
      <c r="C2" s="713" t="s">
        <v>3</v>
      </c>
      <c r="D2" s="716"/>
      <c r="E2" s="716"/>
      <c r="F2" s="716"/>
      <c r="G2" s="713" t="s">
        <v>4</v>
      </c>
      <c r="H2" s="713"/>
      <c r="I2" s="713" t="s">
        <v>5</v>
      </c>
      <c r="J2" s="713"/>
      <c r="K2" s="713"/>
      <c r="L2" s="713"/>
      <c r="M2" s="713"/>
      <c r="N2" s="713"/>
      <c r="O2" s="713"/>
      <c r="P2" s="713"/>
      <c r="Q2" s="713"/>
      <c r="R2" s="713"/>
      <c r="S2" s="713"/>
      <c r="T2" s="713"/>
      <c r="U2" s="713"/>
      <c r="V2" s="713"/>
      <c r="W2" s="713"/>
      <c r="X2" s="713"/>
      <c r="Y2" s="713"/>
      <c r="Z2" s="713"/>
      <c r="AA2" s="713"/>
      <c r="AB2" s="713"/>
      <c r="AC2" s="713"/>
      <c r="AD2" s="713"/>
    </row>
    <row r="3" spans="1:30" ht="25.5" customHeight="1">
      <c r="A3" s="712" t="s">
        <v>6</v>
      </c>
      <c r="B3" s="712"/>
      <c r="C3" s="713" t="s">
        <v>766</v>
      </c>
      <c r="D3" s="713"/>
      <c r="E3" s="713"/>
      <c r="F3" s="713"/>
      <c r="G3" s="712" t="s">
        <v>8</v>
      </c>
      <c r="H3" s="712"/>
      <c r="I3" s="715">
        <v>44594</v>
      </c>
      <c r="J3" s="713"/>
      <c r="K3" s="713"/>
      <c r="L3" s="713"/>
      <c r="M3" s="713"/>
      <c r="N3" s="713"/>
      <c r="O3" s="712" t="s">
        <v>9</v>
      </c>
      <c r="P3" s="712"/>
      <c r="Q3" s="715" t="s">
        <v>767</v>
      </c>
      <c r="R3" s="715"/>
      <c r="S3" s="715"/>
      <c r="T3" s="715"/>
      <c r="U3" s="715"/>
      <c r="V3" s="715"/>
      <c r="W3" s="712" t="s">
        <v>10</v>
      </c>
      <c r="X3" s="712"/>
      <c r="Y3" s="448" t="s">
        <v>768</v>
      </c>
      <c r="Z3" s="713"/>
      <c r="AA3" s="713"/>
      <c r="AB3" s="713"/>
      <c r="AC3" s="713"/>
      <c r="AD3" s="713"/>
    </row>
    <row r="4" spans="1:30" ht="41.25" customHeight="1" thickBot="1">
      <c r="A4" s="712" t="s">
        <v>12</v>
      </c>
      <c r="B4" s="712"/>
      <c r="C4" s="713" t="s">
        <v>769</v>
      </c>
      <c r="D4" s="713"/>
      <c r="E4" s="713"/>
      <c r="F4" s="713"/>
      <c r="G4" s="712" t="s">
        <v>14</v>
      </c>
      <c r="H4" s="712"/>
      <c r="I4" s="715">
        <v>44775</v>
      </c>
      <c r="J4" s="715"/>
      <c r="K4" s="715"/>
      <c r="L4" s="715"/>
      <c r="M4" s="715"/>
      <c r="N4" s="715"/>
      <c r="O4" s="712" t="s">
        <v>15</v>
      </c>
      <c r="P4" s="712"/>
      <c r="Q4" s="713" t="s">
        <v>16</v>
      </c>
      <c r="R4" s="713"/>
      <c r="S4" s="713"/>
      <c r="T4" s="711" t="s">
        <v>17</v>
      </c>
      <c r="U4" s="711"/>
      <c r="V4" s="713"/>
      <c r="W4" s="713"/>
      <c r="X4" s="713"/>
      <c r="Y4" s="713"/>
      <c r="Z4" s="713"/>
      <c r="AA4" s="713"/>
      <c r="AB4" s="713"/>
      <c r="AC4" s="713"/>
      <c r="AD4" s="713"/>
    </row>
    <row r="5" spans="1:30" ht="28.5" customHeight="1" thickBot="1">
      <c r="A5" s="686" t="s">
        <v>18</v>
      </c>
      <c r="B5" s="687"/>
      <c r="C5" s="687"/>
      <c r="D5" s="687"/>
      <c r="E5" s="687"/>
      <c r="F5" s="687"/>
      <c r="G5" s="687"/>
      <c r="H5" s="687"/>
      <c r="I5" s="687"/>
      <c r="J5" s="687"/>
      <c r="K5" s="687"/>
      <c r="L5" s="687"/>
      <c r="M5" s="687"/>
      <c r="N5" s="688"/>
      <c r="O5" s="680" t="s">
        <v>19</v>
      </c>
      <c r="P5" s="681"/>
      <c r="Q5" s="681"/>
      <c r="R5" s="681"/>
      <c r="S5" s="681"/>
      <c r="T5" s="681"/>
      <c r="U5" s="681"/>
      <c r="V5" s="681"/>
      <c r="W5" s="681"/>
      <c r="X5" s="681"/>
      <c r="Y5" s="682"/>
      <c r="Z5" s="683" t="s">
        <v>20</v>
      </c>
      <c r="AA5" s="684"/>
      <c r="AB5" s="684"/>
      <c r="AC5" s="684"/>
      <c r="AD5" s="685"/>
    </row>
    <row r="6" spans="1:30" ht="105.75" customHeight="1" thickBot="1">
      <c r="A6" s="423" t="s">
        <v>21</v>
      </c>
      <c r="B6" s="423" t="s">
        <v>22</v>
      </c>
      <c r="C6" s="423" t="s">
        <v>770</v>
      </c>
      <c r="D6" s="423" t="s">
        <v>24</v>
      </c>
      <c r="E6" s="423" t="s">
        <v>25</v>
      </c>
      <c r="F6" s="423" t="s">
        <v>26</v>
      </c>
      <c r="G6" s="423" t="s">
        <v>27</v>
      </c>
      <c r="H6" s="423" t="s">
        <v>28</v>
      </c>
      <c r="I6" s="423" t="s">
        <v>29</v>
      </c>
      <c r="J6" s="423" t="s">
        <v>30</v>
      </c>
      <c r="K6" s="423" t="s">
        <v>31</v>
      </c>
      <c r="L6" s="423" t="s">
        <v>32</v>
      </c>
      <c r="M6" s="423" t="s">
        <v>33</v>
      </c>
      <c r="N6" s="423" t="s">
        <v>34</v>
      </c>
      <c r="O6" s="424" t="s">
        <v>35</v>
      </c>
      <c r="P6" s="424" t="s">
        <v>36</v>
      </c>
      <c r="Q6" s="424" t="s">
        <v>37</v>
      </c>
      <c r="R6" s="424" t="s">
        <v>38</v>
      </c>
      <c r="S6" s="424" t="s">
        <v>39</v>
      </c>
      <c r="T6" s="424" t="s">
        <v>40</v>
      </c>
      <c r="U6" s="424" t="s">
        <v>41</v>
      </c>
      <c r="V6" s="424" t="s">
        <v>42</v>
      </c>
      <c r="W6" s="424" t="s">
        <v>43</v>
      </c>
      <c r="X6" s="424" t="s">
        <v>44</v>
      </c>
      <c r="Y6" s="424" t="s">
        <v>45</v>
      </c>
      <c r="Z6" s="425" t="s">
        <v>46</v>
      </c>
      <c r="AA6" s="425" t="s">
        <v>771</v>
      </c>
      <c r="AB6" s="425" t="s">
        <v>48</v>
      </c>
      <c r="AC6" s="425" t="s">
        <v>49</v>
      </c>
      <c r="AD6" s="425" t="s">
        <v>50</v>
      </c>
    </row>
    <row r="7" spans="1:30" ht="284.10000000000002" customHeight="1">
      <c r="A7" s="292" t="s">
        <v>341</v>
      </c>
      <c r="B7" s="292" t="s">
        <v>583</v>
      </c>
      <c r="C7" s="426" t="s">
        <v>772</v>
      </c>
      <c r="D7" s="449" t="s">
        <v>773</v>
      </c>
      <c r="E7" s="449" t="s">
        <v>774</v>
      </c>
      <c r="F7" s="450" t="s">
        <v>775</v>
      </c>
      <c r="G7" s="427" t="s">
        <v>776</v>
      </c>
      <c r="H7" s="427">
        <v>100</v>
      </c>
      <c r="I7" s="426" t="s">
        <v>777</v>
      </c>
      <c r="J7" s="426" t="s">
        <v>590</v>
      </c>
      <c r="K7" s="427" t="s">
        <v>778</v>
      </c>
      <c r="L7" s="427" t="s">
        <v>779</v>
      </c>
      <c r="M7" s="428">
        <v>44601</v>
      </c>
      <c r="N7" s="429">
        <v>44712</v>
      </c>
      <c r="O7" s="430">
        <f>(N7-M7)/7</f>
        <v>15.857142857142858</v>
      </c>
      <c r="P7" s="661">
        <v>45112</v>
      </c>
      <c r="Q7" s="661">
        <v>45112</v>
      </c>
      <c r="R7" s="430">
        <f>(P7-M7)/7-O7</f>
        <v>57.142857142857139</v>
      </c>
      <c r="S7" s="431" t="str">
        <f ca="1">IF((N7-TODAY())/7&gt;=0,"En tiempo","Alerta")</f>
        <v>Alerta</v>
      </c>
      <c r="T7" s="662">
        <v>100</v>
      </c>
      <c r="U7" s="190">
        <f>IF(T7/H7=1,1,+T7/H7)</f>
        <v>1</v>
      </c>
      <c r="V7" s="432">
        <f>IF(R7&gt;O7,0%,IF(R7&lt;=0,"100%",1-(R7/O7)))</f>
        <v>0</v>
      </c>
      <c r="W7" s="433" t="str">
        <f>IF(Q7&lt;=N7,"Cumple","Incumple")</f>
        <v>Incumple</v>
      </c>
      <c r="X7" s="612" t="s">
        <v>780</v>
      </c>
      <c r="Y7" s="612" t="s">
        <v>781</v>
      </c>
      <c r="Z7" s="432">
        <f t="shared" ref="Z7:Z19" si="0">(U7+V7)/2</f>
        <v>0.5</v>
      </c>
      <c r="AA7" s="434">
        <v>0.5</v>
      </c>
      <c r="AB7" s="434">
        <v>0.5</v>
      </c>
      <c r="AC7" s="435">
        <f>AVERAGE(Z7:AB7)</f>
        <v>0.5</v>
      </c>
      <c r="AD7" s="452" t="s">
        <v>782</v>
      </c>
    </row>
    <row r="8" spans="1:30" ht="242.25" customHeight="1">
      <c r="A8" s="292" t="s">
        <v>341</v>
      </c>
      <c r="B8" s="292" t="s">
        <v>583</v>
      </c>
      <c r="C8" s="451" t="s">
        <v>783</v>
      </c>
      <c r="D8" s="449"/>
      <c r="E8" s="449" t="s">
        <v>784</v>
      </c>
      <c r="F8" s="426" t="s">
        <v>785</v>
      </c>
      <c r="G8" s="427" t="s">
        <v>786</v>
      </c>
      <c r="H8" s="427">
        <v>100</v>
      </c>
      <c r="I8" s="426" t="s">
        <v>777</v>
      </c>
      <c r="J8" s="426" t="s">
        <v>590</v>
      </c>
      <c r="K8" s="427" t="s">
        <v>778</v>
      </c>
      <c r="L8" s="427" t="s">
        <v>787</v>
      </c>
      <c r="M8" s="429">
        <v>44601</v>
      </c>
      <c r="N8" s="429">
        <v>44712</v>
      </c>
      <c r="O8" s="430">
        <f t="shared" ref="O8:O21" si="1">(N8-M8)/7</f>
        <v>15.857142857142858</v>
      </c>
      <c r="P8" s="661">
        <v>45253</v>
      </c>
      <c r="Q8" s="661">
        <v>45253</v>
      </c>
      <c r="R8" s="430">
        <f t="shared" ref="R8:R30" si="2">(P8-M8)/7-O8</f>
        <v>77.285714285714278</v>
      </c>
      <c r="S8" s="431" t="str">
        <f t="shared" ref="S8:S30" ca="1" si="3">IF((N8-TODAY())/7&gt;=0,"En tiempo","Alerta")</f>
        <v>Alerta</v>
      </c>
      <c r="T8" s="662">
        <v>100</v>
      </c>
      <c r="U8" s="190">
        <f t="shared" ref="U8:U30" si="4">IF(T8/H8=1,1,+T8/H8)</f>
        <v>1</v>
      </c>
      <c r="V8" s="432">
        <f>IF(R8&gt;O8,0%,IF(R8&lt;=0,"100%",1-(R8/O8)))</f>
        <v>0</v>
      </c>
      <c r="W8" s="433" t="str">
        <f t="shared" ref="W8:W30" si="5">IF(Q8&lt;=N8,"Cumple","Incumple")</f>
        <v>Incumple</v>
      </c>
      <c r="X8" s="613" t="s">
        <v>788</v>
      </c>
      <c r="Y8" s="613" t="s">
        <v>789</v>
      </c>
      <c r="Z8" s="432">
        <f t="shared" si="0"/>
        <v>0.5</v>
      </c>
      <c r="AA8" s="434">
        <v>1</v>
      </c>
      <c r="AB8" s="434">
        <v>1</v>
      </c>
      <c r="AC8" s="435">
        <f>AVERAGE(Z8:AB8)</f>
        <v>0.83333333333333337</v>
      </c>
      <c r="AD8" s="452" t="s">
        <v>790</v>
      </c>
    </row>
    <row r="9" spans="1:30" ht="253.5" customHeight="1">
      <c r="A9" s="292" t="s">
        <v>341</v>
      </c>
      <c r="B9" s="292" t="s">
        <v>583</v>
      </c>
      <c r="C9" s="451" t="s">
        <v>791</v>
      </c>
      <c r="D9" s="426"/>
      <c r="E9" s="426" t="s">
        <v>792</v>
      </c>
      <c r="F9" s="426" t="s">
        <v>793</v>
      </c>
      <c r="G9" s="427" t="s">
        <v>794</v>
      </c>
      <c r="H9" s="436">
        <v>1</v>
      </c>
      <c r="I9" s="427" t="s">
        <v>795</v>
      </c>
      <c r="J9" s="426" t="s">
        <v>590</v>
      </c>
      <c r="K9" s="427" t="s">
        <v>778</v>
      </c>
      <c r="L9" s="427" t="s">
        <v>796</v>
      </c>
      <c r="M9" s="429">
        <v>44601</v>
      </c>
      <c r="N9" s="429">
        <v>44742</v>
      </c>
      <c r="O9" s="430">
        <f t="shared" si="1"/>
        <v>20.142857142857142</v>
      </c>
      <c r="P9" s="661">
        <v>45152</v>
      </c>
      <c r="Q9" s="661">
        <v>45152</v>
      </c>
      <c r="R9" s="430">
        <f>(P9-M9)/7-O9</f>
        <v>58.571428571428569</v>
      </c>
      <c r="S9" s="431" t="str">
        <f t="shared" ca="1" si="3"/>
        <v>Alerta</v>
      </c>
      <c r="T9" s="662">
        <v>1</v>
      </c>
      <c r="U9" s="190">
        <f t="shared" si="4"/>
        <v>1</v>
      </c>
      <c r="V9" s="432">
        <f>IF(R9&gt;O9,0%,IF(R9&lt;=0,"100%",1-(R9/O9)))</f>
        <v>0</v>
      </c>
      <c r="W9" s="433" t="str">
        <f>IF(Q9&lt;=N9,"Cumple","Incumple")</f>
        <v>Incumple</v>
      </c>
      <c r="X9" s="614" t="s">
        <v>797</v>
      </c>
      <c r="Y9" s="614" t="s">
        <v>798</v>
      </c>
      <c r="Z9" s="432">
        <f>(U9+V9)/2</f>
        <v>0.5</v>
      </c>
      <c r="AA9" s="434">
        <v>1</v>
      </c>
      <c r="AB9" s="434">
        <v>0.75</v>
      </c>
      <c r="AC9" s="435">
        <f>AVERAGE(Z9:AB9)</f>
        <v>0.75</v>
      </c>
      <c r="AD9" s="452" t="s">
        <v>799</v>
      </c>
    </row>
    <row r="10" spans="1:30" ht="101.25">
      <c r="A10" s="292" t="s">
        <v>341</v>
      </c>
      <c r="B10" s="292" t="s">
        <v>583</v>
      </c>
      <c r="C10" s="426" t="s">
        <v>800</v>
      </c>
      <c r="D10" s="426"/>
      <c r="E10" s="426" t="s">
        <v>801</v>
      </c>
      <c r="F10" s="426" t="s">
        <v>802</v>
      </c>
      <c r="G10" s="427" t="s">
        <v>803</v>
      </c>
      <c r="H10" s="436">
        <v>1</v>
      </c>
      <c r="I10" s="427" t="s">
        <v>804</v>
      </c>
      <c r="J10" s="426" t="s">
        <v>590</v>
      </c>
      <c r="K10" s="427" t="s">
        <v>778</v>
      </c>
      <c r="L10" s="427" t="s">
        <v>805</v>
      </c>
      <c r="M10" s="429">
        <v>44601</v>
      </c>
      <c r="N10" s="429">
        <v>44712</v>
      </c>
      <c r="O10" s="430">
        <f t="shared" si="1"/>
        <v>15.857142857142858</v>
      </c>
      <c r="P10" s="661">
        <v>44742</v>
      </c>
      <c r="Q10" s="661">
        <v>44742</v>
      </c>
      <c r="R10" s="430">
        <f t="shared" si="2"/>
        <v>4.2857142857142847</v>
      </c>
      <c r="S10" s="431" t="str">
        <f t="shared" ca="1" si="3"/>
        <v>Alerta</v>
      </c>
      <c r="T10" s="662">
        <v>1</v>
      </c>
      <c r="U10" s="190">
        <f t="shared" si="4"/>
        <v>1</v>
      </c>
      <c r="V10" s="432">
        <f>IF(R10&gt;O10,0%,IF(R10&lt;=0,"100%",1-(R10/O10)))</f>
        <v>0.72972972972972983</v>
      </c>
      <c r="W10" s="433" t="str">
        <f t="shared" si="5"/>
        <v>Incumple</v>
      </c>
      <c r="X10" s="615"/>
      <c r="Y10" s="615" t="s">
        <v>806</v>
      </c>
      <c r="Z10" s="432">
        <f>(U10+V10)/2</f>
        <v>0.86486486486486491</v>
      </c>
      <c r="AA10" s="434">
        <v>1</v>
      </c>
      <c r="AB10" s="434">
        <v>0.9</v>
      </c>
      <c r="AC10" s="435">
        <f t="shared" ref="AC10:AC21" si="6">AVERAGE(Z10:AB10)</f>
        <v>0.92162162162162165</v>
      </c>
      <c r="AD10" s="452" t="s">
        <v>807</v>
      </c>
    </row>
    <row r="11" spans="1:30" ht="266.45" customHeight="1">
      <c r="A11" s="292" t="s">
        <v>341</v>
      </c>
      <c r="B11" s="292" t="s">
        <v>583</v>
      </c>
      <c r="C11" s="426" t="s">
        <v>808</v>
      </c>
      <c r="D11" s="426"/>
      <c r="E11" s="426" t="s">
        <v>809</v>
      </c>
      <c r="F11" s="426" t="s">
        <v>810</v>
      </c>
      <c r="G11" s="427" t="s">
        <v>811</v>
      </c>
      <c r="H11" s="437">
        <v>100</v>
      </c>
      <c r="I11" s="427" t="s">
        <v>795</v>
      </c>
      <c r="J11" s="426" t="s">
        <v>590</v>
      </c>
      <c r="K11" s="427" t="s">
        <v>778</v>
      </c>
      <c r="L11" s="427" t="s">
        <v>779</v>
      </c>
      <c r="M11" s="429">
        <v>44601</v>
      </c>
      <c r="N11" s="429">
        <v>44712</v>
      </c>
      <c r="O11" s="430">
        <f t="shared" si="1"/>
        <v>15.857142857142858</v>
      </c>
      <c r="P11" s="661">
        <v>45253</v>
      </c>
      <c r="Q11" s="661">
        <v>45253</v>
      </c>
      <c r="R11" s="430">
        <f t="shared" si="2"/>
        <v>77.285714285714278</v>
      </c>
      <c r="S11" s="431" t="str">
        <f t="shared" ca="1" si="3"/>
        <v>Alerta</v>
      </c>
      <c r="T11" s="662">
        <v>100</v>
      </c>
      <c r="U11" s="190">
        <f t="shared" si="4"/>
        <v>1</v>
      </c>
      <c r="V11" s="432">
        <f t="shared" ref="V11:V30" si="7">IF(R11&gt;O11,0%,IF(R11&lt;=0,"100%",1-(R11/O11)))</f>
        <v>0</v>
      </c>
      <c r="W11" s="433" t="str">
        <f t="shared" si="5"/>
        <v>Incumple</v>
      </c>
      <c r="X11" s="612" t="s">
        <v>812</v>
      </c>
      <c r="Y11" s="614" t="s">
        <v>813</v>
      </c>
      <c r="Z11" s="432">
        <f t="shared" si="0"/>
        <v>0.5</v>
      </c>
      <c r="AA11" s="434">
        <v>0.9</v>
      </c>
      <c r="AB11" s="434">
        <v>0.5</v>
      </c>
      <c r="AC11" s="435">
        <f t="shared" si="6"/>
        <v>0.6333333333333333</v>
      </c>
      <c r="AD11" s="452" t="s">
        <v>814</v>
      </c>
    </row>
    <row r="12" spans="1:30" ht="193.5" customHeight="1">
      <c r="A12" s="292" t="s">
        <v>341</v>
      </c>
      <c r="B12" s="292" t="s">
        <v>583</v>
      </c>
      <c r="C12" s="426" t="s">
        <v>815</v>
      </c>
      <c r="D12" s="426"/>
      <c r="E12" s="426" t="s">
        <v>816</v>
      </c>
      <c r="F12" s="426" t="s">
        <v>817</v>
      </c>
      <c r="G12" s="427" t="s">
        <v>818</v>
      </c>
      <c r="H12" s="437">
        <v>100</v>
      </c>
      <c r="I12" s="426" t="s">
        <v>819</v>
      </c>
      <c r="J12" s="426" t="s">
        <v>590</v>
      </c>
      <c r="K12" s="427" t="s">
        <v>778</v>
      </c>
      <c r="L12" s="427" t="s">
        <v>820</v>
      </c>
      <c r="M12" s="429">
        <v>44601</v>
      </c>
      <c r="N12" s="429">
        <v>44712</v>
      </c>
      <c r="O12" s="430">
        <f t="shared" si="1"/>
        <v>15.857142857142858</v>
      </c>
      <c r="P12" s="661">
        <v>44742</v>
      </c>
      <c r="Q12" s="661">
        <v>44742</v>
      </c>
      <c r="R12" s="430">
        <f t="shared" si="2"/>
        <v>4.2857142857142847</v>
      </c>
      <c r="S12" s="431" t="str">
        <f t="shared" ca="1" si="3"/>
        <v>Alerta</v>
      </c>
      <c r="T12" s="662">
        <v>100</v>
      </c>
      <c r="U12" s="190">
        <f t="shared" si="4"/>
        <v>1</v>
      </c>
      <c r="V12" s="432">
        <f t="shared" si="7"/>
        <v>0.72972972972972983</v>
      </c>
      <c r="W12" s="433" t="str">
        <f t="shared" si="5"/>
        <v>Incumple</v>
      </c>
      <c r="X12" s="615"/>
      <c r="Y12" s="612" t="s">
        <v>821</v>
      </c>
      <c r="Z12" s="432">
        <f t="shared" si="0"/>
        <v>0.86486486486486491</v>
      </c>
      <c r="AA12" s="434">
        <v>1</v>
      </c>
      <c r="AB12" s="434">
        <v>0.9</v>
      </c>
      <c r="AC12" s="435">
        <f t="shared" si="6"/>
        <v>0.92162162162162165</v>
      </c>
      <c r="AD12" s="452" t="s">
        <v>822</v>
      </c>
    </row>
    <row r="13" spans="1:30" ht="237" customHeight="1">
      <c r="A13" s="292" t="s">
        <v>341</v>
      </c>
      <c r="B13" s="292" t="s">
        <v>583</v>
      </c>
      <c r="C13" s="426" t="s">
        <v>823</v>
      </c>
      <c r="D13" s="426"/>
      <c r="E13" s="426" t="s">
        <v>824</v>
      </c>
      <c r="F13" s="426" t="s">
        <v>824</v>
      </c>
      <c r="G13" s="427" t="s">
        <v>825</v>
      </c>
      <c r="H13" s="436">
        <v>1</v>
      </c>
      <c r="I13" s="426" t="s">
        <v>777</v>
      </c>
      <c r="J13" s="426" t="s">
        <v>590</v>
      </c>
      <c r="K13" s="427" t="s">
        <v>778</v>
      </c>
      <c r="L13" s="427" t="s">
        <v>825</v>
      </c>
      <c r="M13" s="429">
        <v>44601</v>
      </c>
      <c r="N13" s="429">
        <v>44773</v>
      </c>
      <c r="O13" s="430">
        <f t="shared" si="1"/>
        <v>24.571428571428573</v>
      </c>
      <c r="P13" s="661">
        <v>45112</v>
      </c>
      <c r="Q13" s="661">
        <v>45112</v>
      </c>
      <c r="R13" s="430">
        <f t="shared" si="2"/>
        <v>48.428571428571431</v>
      </c>
      <c r="S13" s="431" t="str">
        <f t="shared" ca="1" si="3"/>
        <v>Alerta</v>
      </c>
      <c r="T13" s="662">
        <v>1</v>
      </c>
      <c r="U13" s="190">
        <f t="shared" si="4"/>
        <v>1</v>
      </c>
      <c r="V13" s="432">
        <f t="shared" si="7"/>
        <v>0</v>
      </c>
      <c r="W13" s="433" t="str">
        <f t="shared" si="5"/>
        <v>Incumple</v>
      </c>
      <c r="X13" s="615" t="s">
        <v>826</v>
      </c>
      <c r="Y13" s="615" t="s">
        <v>827</v>
      </c>
      <c r="Z13" s="432">
        <f t="shared" si="0"/>
        <v>0.5</v>
      </c>
      <c r="AA13" s="434">
        <v>0.5</v>
      </c>
      <c r="AB13" s="434">
        <v>0.5</v>
      </c>
      <c r="AC13" s="435">
        <f t="shared" si="6"/>
        <v>0.5</v>
      </c>
      <c r="AD13" s="452" t="s">
        <v>828</v>
      </c>
    </row>
    <row r="14" spans="1:30" ht="186" customHeight="1">
      <c r="A14" s="292" t="s">
        <v>341</v>
      </c>
      <c r="B14" s="292" t="s">
        <v>583</v>
      </c>
      <c r="C14" s="450" t="s">
        <v>829</v>
      </c>
      <c r="D14" s="426"/>
      <c r="E14" s="426" t="s">
        <v>830</v>
      </c>
      <c r="F14" s="426" t="s">
        <v>831</v>
      </c>
      <c r="G14" s="427" t="s">
        <v>818</v>
      </c>
      <c r="H14" s="436">
        <v>1</v>
      </c>
      <c r="I14" s="427" t="s">
        <v>777</v>
      </c>
      <c r="J14" s="426" t="s">
        <v>590</v>
      </c>
      <c r="K14" s="427" t="s">
        <v>778</v>
      </c>
      <c r="L14" s="427" t="s">
        <v>832</v>
      </c>
      <c r="M14" s="429">
        <v>44601</v>
      </c>
      <c r="N14" s="429">
        <v>44712</v>
      </c>
      <c r="O14" s="430">
        <f t="shared" si="1"/>
        <v>15.857142857142858</v>
      </c>
      <c r="P14" s="661">
        <v>44742</v>
      </c>
      <c r="Q14" s="661">
        <v>44742</v>
      </c>
      <c r="R14" s="430">
        <f t="shared" si="2"/>
        <v>4.2857142857142847</v>
      </c>
      <c r="S14" s="431" t="str">
        <f t="shared" ca="1" si="3"/>
        <v>Alerta</v>
      </c>
      <c r="T14" s="662">
        <v>1</v>
      </c>
      <c r="U14" s="190">
        <f t="shared" si="4"/>
        <v>1</v>
      </c>
      <c r="V14" s="432">
        <f t="shared" si="7"/>
        <v>0.72972972972972983</v>
      </c>
      <c r="W14" s="433" t="str">
        <f t="shared" si="5"/>
        <v>Incumple</v>
      </c>
      <c r="X14" s="615"/>
      <c r="Y14" s="615" t="s">
        <v>833</v>
      </c>
      <c r="Z14" s="432">
        <f>(U14+V14)/2</f>
        <v>0.86486486486486491</v>
      </c>
      <c r="AA14" s="434">
        <v>0.7</v>
      </c>
      <c r="AB14" s="434">
        <v>0.5</v>
      </c>
      <c r="AC14" s="435">
        <f t="shared" si="6"/>
        <v>0.68828828828828836</v>
      </c>
      <c r="AD14" s="452" t="s">
        <v>834</v>
      </c>
    </row>
    <row r="15" spans="1:30" ht="275.25" customHeight="1">
      <c r="A15" s="292" t="s">
        <v>341</v>
      </c>
      <c r="B15" s="292" t="s">
        <v>583</v>
      </c>
      <c r="C15" s="450" t="s">
        <v>835</v>
      </c>
      <c r="D15" s="426"/>
      <c r="E15" s="426" t="s">
        <v>836</v>
      </c>
      <c r="F15" s="426" t="s">
        <v>837</v>
      </c>
      <c r="G15" s="427" t="s">
        <v>838</v>
      </c>
      <c r="H15" s="438">
        <v>1</v>
      </c>
      <c r="I15" s="427" t="s">
        <v>777</v>
      </c>
      <c r="J15" s="426" t="s">
        <v>590</v>
      </c>
      <c r="K15" s="427" t="s">
        <v>778</v>
      </c>
      <c r="L15" s="427" t="s">
        <v>839</v>
      </c>
      <c r="M15" s="429">
        <v>44601</v>
      </c>
      <c r="N15" s="429">
        <v>44929</v>
      </c>
      <c r="O15" s="430">
        <f t="shared" si="1"/>
        <v>46.857142857142854</v>
      </c>
      <c r="P15" s="661">
        <v>45253</v>
      </c>
      <c r="Q15" s="661">
        <v>45253</v>
      </c>
      <c r="R15" s="430">
        <f t="shared" si="2"/>
        <v>46.285714285714285</v>
      </c>
      <c r="S15" s="431" t="str">
        <f t="shared" ca="1" si="3"/>
        <v>Alerta</v>
      </c>
      <c r="T15" s="662">
        <v>0.95</v>
      </c>
      <c r="U15" s="190">
        <f t="shared" si="4"/>
        <v>0.95</v>
      </c>
      <c r="V15" s="432">
        <f t="shared" si="7"/>
        <v>1.2195121951219523E-2</v>
      </c>
      <c r="W15" s="433" t="str">
        <f t="shared" si="5"/>
        <v>Incumple</v>
      </c>
      <c r="X15" s="615" t="s">
        <v>840</v>
      </c>
      <c r="Y15" s="615" t="s">
        <v>841</v>
      </c>
      <c r="Z15" s="432">
        <f t="shared" si="0"/>
        <v>0.48109756097560974</v>
      </c>
      <c r="AA15" s="434">
        <v>0.7</v>
      </c>
      <c r="AB15" s="434">
        <v>0.5</v>
      </c>
      <c r="AC15" s="435">
        <f>AVERAGE(Z15:AB15)</f>
        <v>0.56036585365853664</v>
      </c>
      <c r="AD15" s="452" t="s">
        <v>842</v>
      </c>
    </row>
    <row r="16" spans="1:30" ht="152.25" customHeight="1">
      <c r="A16" s="292" t="s">
        <v>341</v>
      </c>
      <c r="B16" s="292" t="s">
        <v>583</v>
      </c>
      <c r="C16" s="450" t="s">
        <v>843</v>
      </c>
      <c r="D16" s="426"/>
      <c r="E16" s="426" t="s">
        <v>844</v>
      </c>
      <c r="F16" s="426" t="s">
        <v>845</v>
      </c>
      <c r="G16" s="427" t="s">
        <v>818</v>
      </c>
      <c r="H16" s="436">
        <v>1</v>
      </c>
      <c r="I16" s="427" t="s">
        <v>846</v>
      </c>
      <c r="J16" s="426" t="s">
        <v>590</v>
      </c>
      <c r="K16" s="427" t="s">
        <v>778</v>
      </c>
      <c r="L16" s="427" t="s">
        <v>847</v>
      </c>
      <c r="M16" s="429">
        <v>44601</v>
      </c>
      <c r="N16" s="429">
        <v>44929</v>
      </c>
      <c r="O16" s="430">
        <f t="shared" si="1"/>
        <v>46.857142857142854</v>
      </c>
      <c r="P16" s="661">
        <v>44742</v>
      </c>
      <c r="Q16" s="661">
        <v>44909</v>
      </c>
      <c r="R16" s="430">
        <f t="shared" si="2"/>
        <v>-26.714285714285712</v>
      </c>
      <c r="S16" s="431" t="str">
        <f t="shared" ca="1" si="3"/>
        <v>Alerta</v>
      </c>
      <c r="T16" s="662">
        <v>1</v>
      </c>
      <c r="U16" s="190">
        <f t="shared" si="4"/>
        <v>1</v>
      </c>
      <c r="V16" s="432" t="str">
        <f t="shared" si="7"/>
        <v>100%</v>
      </c>
      <c r="W16" s="433" t="str">
        <f t="shared" si="5"/>
        <v>Cumple</v>
      </c>
      <c r="X16" s="615"/>
      <c r="Y16" s="615" t="s">
        <v>848</v>
      </c>
      <c r="Z16" s="432">
        <f t="shared" si="0"/>
        <v>1</v>
      </c>
      <c r="AA16" s="434">
        <v>1</v>
      </c>
      <c r="AB16" s="434">
        <v>0.9</v>
      </c>
      <c r="AC16" s="435">
        <f t="shared" si="6"/>
        <v>0.96666666666666667</v>
      </c>
      <c r="AD16" s="452" t="s">
        <v>849</v>
      </c>
    </row>
    <row r="17" spans="1:30" ht="148.5" customHeight="1">
      <c r="A17" s="292" t="s">
        <v>341</v>
      </c>
      <c r="B17" s="292" t="s">
        <v>583</v>
      </c>
      <c r="C17" s="450" t="s">
        <v>850</v>
      </c>
      <c r="D17" s="426"/>
      <c r="E17" s="426" t="s">
        <v>851</v>
      </c>
      <c r="F17" s="426" t="s">
        <v>852</v>
      </c>
      <c r="G17" s="427" t="s">
        <v>853</v>
      </c>
      <c r="H17" s="427">
        <v>1</v>
      </c>
      <c r="I17" s="427" t="s">
        <v>777</v>
      </c>
      <c r="J17" s="426" t="s">
        <v>590</v>
      </c>
      <c r="K17" s="427" t="s">
        <v>778</v>
      </c>
      <c r="L17" s="427" t="s">
        <v>838</v>
      </c>
      <c r="M17" s="429">
        <v>44601</v>
      </c>
      <c r="N17" s="429">
        <v>44929</v>
      </c>
      <c r="O17" s="439">
        <f t="shared" si="1"/>
        <v>46.857142857142854</v>
      </c>
      <c r="P17" s="661">
        <v>45253</v>
      </c>
      <c r="Q17" s="661">
        <v>45253</v>
      </c>
      <c r="R17" s="430">
        <f t="shared" si="2"/>
        <v>46.285714285714285</v>
      </c>
      <c r="S17" s="431" t="str">
        <f t="shared" ca="1" si="3"/>
        <v>Alerta</v>
      </c>
      <c r="T17" s="662">
        <v>0.5</v>
      </c>
      <c r="U17" s="190">
        <f t="shared" si="4"/>
        <v>0.5</v>
      </c>
      <c r="V17" s="432">
        <f t="shared" si="7"/>
        <v>1.2195121951219523E-2</v>
      </c>
      <c r="W17" s="433" t="str">
        <f t="shared" si="5"/>
        <v>Incumple</v>
      </c>
      <c r="X17" s="614" t="s">
        <v>854</v>
      </c>
      <c r="Y17" s="615" t="s">
        <v>855</v>
      </c>
      <c r="Z17" s="432">
        <f t="shared" si="0"/>
        <v>0.25609756097560976</v>
      </c>
      <c r="AA17" s="434"/>
      <c r="AB17" s="434"/>
      <c r="AC17" s="435">
        <f t="shared" si="6"/>
        <v>0.25609756097560976</v>
      </c>
      <c r="AD17" s="452" t="s">
        <v>856</v>
      </c>
    </row>
    <row r="18" spans="1:30" ht="166.5" customHeight="1">
      <c r="A18" s="292" t="s">
        <v>341</v>
      </c>
      <c r="B18" s="292" t="s">
        <v>583</v>
      </c>
      <c r="C18" s="450" t="s">
        <v>857</v>
      </c>
      <c r="D18" s="426"/>
      <c r="E18" s="426" t="s">
        <v>858</v>
      </c>
      <c r="F18" s="426" t="s">
        <v>859</v>
      </c>
      <c r="G18" s="427" t="s">
        <v>860</v>
      </c>
      <c r="H18" s="427">
        <v>1</v>
      </c>
      <c r="I18" s="427" t="s">
        <v>777</v>
      </c>
      <c r="J18" s="426" t="s">
        <v>590</v>
      </c>
      <c r="K18" s="427" t="s">
        <v>778</v>
      </c>
      <c r="L18" s="427" t="s">
        <v>861</v>
      </c>
      <c r="M18" s="429">
        <v>44601</v>
      </c>
      <c r="N18" s="429">
        <v>44773</v>
      </c>
      <c r="O18" s="439">
        <f t="shared" si="1"/>
        <v>24.571428571428573</v>
      </c>
      <c r="P18" s="661">
        <v>45112</v>
      </c>
      <c r="Q18" s="661">
        <v>45112</v>
      </c>
      <c r="R18" s="430">
        <f t="shared" si="2"/>
        <v>48.428571428571431</v>
      </c>
      <c r="S18" s="431" t="str">
        <f t="shared" ca="1" si="3"/>
        <v>Alerta</v>
      </c>
      <c r="T18" s="662">
        <v>1</v>
      </c>
      <c r="U18" s="190">
        <f t="shared" si="4"/>
        <v>1</v>
      </c>
      <c r="V18" s="432">
        <f t="shared" si="7"/>
        <v>0</v>
      </c>
      <c r="W18" s="433" t="str">
        <f t="shared" si="5"/>
        <v>Incumple</v>
      </c>
      <c r="X18" s="612" t="s">
        <v>862</v>
      </c>
      <c r="Y18" s="615" t="s">
        <v>863</v>
      </c>
      <c r="Z18" s="432">
        <f t="shared" si="0"/>
        <v>0.5</v>
      </c>
      <c r="AA18" s="434">
        <v>0.9</v>
      </c>
      <c r="AB18" s="434">
        <v>0.5</v>
      </c>
      <c r="AC18" s="435">
        <f t="shared" si="6"/>
        <v>0.6333333333333333</v>
      </c>
      <c r="AD18" s="452" t="s">
        <v>864</v>
      </c>
    </row>
    <row r="19" spans="1:30" ht="185.25" customHeight="1">
      <c r="A19" s="292" t="s">
        <v>341</v>
      </c>
      <c r="B19" s="292" t="s">
        <v>583</v>
      </c>
      <c r="C19" s="450" t="s">
        <v>865</v>
      </c>
      <c r="D19" s="426"/>
      <c r="E19" s="426" t="s">
        <v>866</v>
      </c>
      <c r="F19" s="426" t="s">
        <v>867</v>
      </c>
      <c r="G19" s="427" t="s">
        <v>868</v>
      </c>
      <c r="H19" s="437">
        <v>100</v>
      </c>
      <c r="I19" s="427" t="s">
        <v>777</v>
      </c>
      <c r="J19" s="426" t="s">
        <v>590</v>
      </c>
      <c r="K19" s="427" t="s">
        <v>778</v>
      </c>
      <c r="L19" s="427" t="s">
        <v>869</v>
      </c>
      <c r="M19" s="429">
        <v>44601</v>
      </c>
      <c r="N19" s="429">
        <v>44965</v>
      </c>
      <c r="O19" s="439">
        <f t="shared" si="1"/>
        <v>52</v>
      </c>
      <c r="P19" s="661">
        <v>45112</v>
      </c>
      <c r="Q19" s="661">
        <v>45112</v>
      </c>
      <c r="R19" s="430">
        <f t="shared" si="2"/>
        <v>21</v>
      </c>
      <c r="S19" s="431" t="str">
        <f t="shared" ca="1" si="3"/>
        <v>Alerta</v>
      </c>
      <c r="T19" s="662">
        <v>100</v>
      </c>
      <c r="U19" s="190">
        <f t="shared" si="4"/>
        <v>1</v>
      </c>
      <c r="V19" s="432">
        <f t="shared" si="7"/>
        <v>0.59615384615384615</v>
      </c>
      <c r="W19" s="433" t="str">
        <f t="shared" si="5"/>
        <v>Incumple</v>
      </c>
      <c r="X19" s="615" t="s">
        <v>870</v>
      </c>
      <c r="Y19" s="615" t="s">
        <v>871</v>
      </c>
      <c r="Z19" s="432">
        <f t="shared" si="0"/>
        <v>0.79807692307692313</v>
      </c>
      <c r="AA19" s="434">
        <v>1</v>
      </c>
      <c r="AB19" s="434">
        <v>1</v>
      </c>
      <c r="AC19" s="435">
        <f t="shared" si="6"/>
        <v>0.93269230769230782</v>
      </c>
      <c r="AD19" s="452" t="s">
        <v>872</v>
      </c>
    </row>
    <row r="20" spans="1:30" ht="231.75" customHeight="1">
      <c r="A20" s="292" t="s">
        <v>341</v>
      </c>
      <c r="B20" s="292" t="s">
        <v>583</v>
      </c>
      <c r="C20" s="426" t="s">
        <v>873</v>
      </c>
      <c r="D20" s="426"/>
      <c r="E20" s="426" t="s">
        <v>874</v>
      </c>
      <c r="F20" s="427" t="s">
        <v>875</v>
      </c>
      <c r="G20" s="427" t="s">
        <v>818</v>
      </c>
      <c r="H20" s="427">
        <v>1</v>
      </c>
      <c r="I20" s="427" t="s">
        <v>876</v>
      </c>
      <c r="J20" s="426" t="s">
        <v>590</v>
      </c>
      <c r="K20" s="427" t="s">
        <v>778</v>
      </c>
      <c r="L20" s="427" t="s">
        <v>877</v>
      </c>
      <c r="M20" s="429">
        <v>44601</v>
      </c>
      <c r="N20" s="429">
        <v>44770</v>
      </c>
      <c r="O20" s="439">
        <f t="shared" si="1"/>
        <v>24.142857142857142</v>
      </c>
      <c r="P20" s="661">
        <v>45253</v>
      </c>
      <c r="Q20" s="661">
        <v>45253</v>
      </c>
      <c r="R20" s="430">
        <f t="shared" si="2"/>
        <v>69</v>
      </c>
      <c r="S20" s="431" t="str">
        <f t="shared" ca="1" si="3"/>
        <v>Alerta</v>
      </c>
      <c r="T20" s="662">
        <v>0.5</v>
      </c>
      <c r="U20" s="190">
        <f t="shared" si="4"/>
        <v>0.5</v>
      </c>
      <c r="V20" s="432">
        <f t="shared" si="7"/>
        <v>0</v>
      </c>
      <c r="W20" s="433" t="str">
        <f t="shared" si="5"/>
        <v>Incumple</v>
      </c>
      <c r="X20" s="615" t="s">
        <v>878</v>
      </c>
      <c r="Y20" s="614" t="s">
        <v>879</v>
      </c>
      <c r="Z20" s="432">
        <f>(U20+V20)/2</f>
        <v>0.25</v>
      </c>
      <c r="AA20" s="434"/>
      <c r="AB20" s="434"/>
      <c r="AC20" s="435">
        <f t="shared" si="6"/>
        <v>0.25</v>
      </c>
      <c r="AD20" s="452" t="s">
        <v>856</v>
      </c>
    </row>
    <row r="21" spans="1:30" ht="109.5" customHeight="1">
      <c r="A21" s="292" t="s">
        <v>341</v>
      </c>
      <c r="B21" s="292" t="s">
        <v>583</v>
      </c>
      <c r="C21" s="426" t="s">
        <v>880</v>
      </c>
      <c r="D21" s="426"/>
      <c r="E21" s="426" t="s">
        <v>881</v>
      </c>
      <c r="F21" s="427" t="s">
        <v>882</v>
      </c>
      <c r="G21" s="427" t="s">
        <v>860</v>
      </c>
      <c r="H21" s="427">
        <v>1</v>
      </c>
      <c r="I21" s="427" t="s">
        <v>777</v>
      </c>
      <c r="J21" s="426" t="s">
        <v>590</v>
      </c>
      <c r="K21" s="427" t="s">
        <v>778</v>
      </c>
      <c r="L21" s="427" t="s">
        <v>861</v>
      </c>
      <c r="M21" s="429">
        <v>44601</v>
      </c>
      <c r="N21" s="429">
        <v>44773</v>
      </c>
      <c r="O21" s="439">
        <f t="shared" si="1"/>
        <v>24.571428571428573</v>
      </c>
      <c r="P21" s="661">
        <v>45112</v>
      </c>
      <c r="Q21" s="661">
        <v>45112</v>
      </c>
      <c r="R21" s="430">
        <f t="shared" si="2"/>
        <v>48.428571428571431</v>
      </c>
      <c r="S21" s="431" t="str">
        <f t="shared" ca="1" si="3"/>
        <v>Alerta</v>
      </c>
      <c r="T21" s="662">
        <v>1</v>
      </c>
      <c r="U21" s="190">
        <f t="shared" si="4"/>
        <v>1</v>
      </c>
      <c r="V21" s="432">
        <f t="shared" si="7"/>
        <v>0</v>
      </c>
      <c r="W21" s="433" t="str">
        <f t="shared" si="5"/>
        <v>Incumple</v>
      </c>
      <c r="X21" s="612" t="s">
        <v>862</v>
      </c>
      <c r="Y21" s="615" t="s">
        <v>883</v>
      </c>
      <c r="Z21" s="432">
        <f>(U21+V21)/2</f>
        <v>0.5</v>
      </c>
      <c r="AA21" s="434">
        <v>0.9</v>
      </c>
      <c r="AB21" s="434">
        <v>1</v>
      </c>
      <c r="AC21" s="435">
        <f t="shared" si="6"/>
        <v>0.79999999999999993</v>
      </c>
      <c r="AD21" s="452" t="s">
        <v>884</v>
      </c>
    </row>
    <row r="22" spans="1:30" ht="103.5" customHeight="1">
      <c r="A22" s="292" t="s">
        <v>341</v>
      </c>
      <c r="B22" s="292" t="s">
        <v>583</v>
      </c>
      <c r="C22" s="426" t="s">
        <v>885</v>
      </c>
      <c r="D22" s="426"/>
      <c r="E22" s="426" t="s">
        <v>881</v>
      </c>
      <c r="F22" s="427" t="s">
        <v>886</v>
      </c>
      <c r="G22" s="427" t="s">
        <v>860</v>
      </c>
      <c r="H22" s="427">
        <v>1</v>
      </c>
      <c r="I22" s="427" t="s">
        <v>777</v>
      </c>
      <c r="J22" s="426" t="s">
        <v>590</v>
      </c>
      <c r="K22" s="427" t="s">
        <v>778</v>
      </c>
      <c r="L22" s="427" t="s">
        <v>861</v>
      </c>
      <c r="M22" s="429">
        <v>44601</v>
      </c>
      <c r="N22" s="429">
        <v>44773</v>
      </c>
      <c r="O22" s="439">
        <f>(N22-M22)/7</f>
        <v>24.571428571428573</v>
      </c>
      <c r="P22" s="661">
        <v>45112</v>
      </c>
      <c r="Q22" s="661">
        <v>45112</v>
      </c>
      <c r="R22" s="430">
        <f t="shared" si="2"/>
        <v>48.428571428571431</v>
      </c>
      <c r="S22" s="431" t="str">
        <f t="shared" ca="1" si="3"/>
        <v>Alerta</v>
      </c>
      <c r="T22" s="662">
        <v>1</v>
      </c>
      <c r="U22" s="190">
        <f t="shared" si="4"/>
        <v>1</v>
      </c>
      <c r="V22" s="432">
        <f t="shared" si="7"/>
        <v>0</v>
      </c>
      <c r="W22" s="433" t="str">
        <f t="shared" si="5"/>
        <v>Incumple</v>
      </c>
      <c r="X22" s="612" t="s">
        <v>862</v>
      </c>
      <c r="Y22" s="615" t="s">
        <v>883</v>
      </c>
      <c r="Z22" s="432">
        <f>(U22+V22)/2</f>
        <v>0.5</v>
      </c>
      <c r="AA22" s="434">
        <v>0.9</v>
      </c>
      <c r="AB22" s="434">
        <v>1</v>
      </c>
      <c r="AC22" s="435">
        <f t="shared" ref="AC22:AC30" si="8">AVERAGE(Z22:AB22)</f>
        <v>0.79999999999999993</v>
      </c>
      <c r="AD22" s="452" t="s">
        <v>884</v>
      </c>
    </row>
    <row r="23" spans="1:30" ht="137.25" customHeight="1">
      <c r="A23" s="292" t="s">
        <v>341</v>
      </c>
      <c r="B23" s="292" t="s">
        <v>583</v>
      </c>
      <c r="C23" s="427" t="s">
        <v>887</v>
      </c>
      <c r="D23" s="440"/>
      <c r="E23" s="440" t="s">
        <v>888</v>
      </c>
      <c r="F23" s="440" t="s">
        <v>888</v>
      </c>
      <c r="G23" s="427" t="s">
        <v>889</v>
      </c>
      <c r="H23" s="427">
        <v>1</v>
      </c>
      <c r="I23" s="427" t="s">
        <v>876</v>
      </c>
      <c r="J23" s="426" t="s">
        <v>590</v>
      </c>
      <c r="K23" s="427" t="s">
        <v>778</v>
      </c>
      <c r="L23" s="427" t="s">
        <v>890</v>
      </c>
      <c r="M23" s="429">
        <v>44601</v>
      </c>
      <c r="N23" s="441">
        <v>44965</v>
      </c>
      <c r="O23" s="442">
        <f>(N23-M23)/7</f>
        <v>52</v>
      </c>
      <c r="P23" s="661">
        <v>45112</v>
      </c>
      <c r="Q23" s="661">
        <v>45112</v>
      </c>
      <c r="R23" s="430">
        <f t="shared" si="2"/>
        <v>21</v>
      </c>
      <c r="S23" s="431" t="str">
        <f t="shared" ca="1" si="3"/>
        <v>Alerta</v>
      </c>
      <c r="T23" s="662">
        <v>1</v>
      </c>
      <c r="U23" s="190">
        <f t="shared" si="4"/>
        <v>1</v>
      </c>
      <c r="V23" s="432">
        <f t="shared" si="7"/>
        <v>0.59615384615384615</v>
      </c>
      <c r="W23" s="433" t="str">
        <f t="shared" si="5"/>
        <v>Incumple</v>
      </c>
      <c r="X23" s="616" t="s">
        <v>891</v>
      </c>
      <c r="Y23" s="615" t="s">
        <v>892</v>
      </c>
      <c r="Z23" s="432">
        <f t="shared" ref="Z23:Z30" si="9">(U23+V23)/2</f>
        <v>0.79807692307692313</v>
      </c>
      <c r="AA23" s="453">
        <v>1</v>
      </c>
      <c r="AB23" s="453">
        <v>0</v>
      </c>
      <c r="AC23" s="435">
        <f t="shared" si="8"/>
        <v>0.59935897435897434</v>
      </c>
      <c r="AD23" s="427" t="s">
        <v>893</v>
      </c>
    </row>
    <row r="24" spans="1:30" ht="141.75" customHeight="1">
      <c r="A24" s="292" t="s">
        <v>341</v>
      </c>
      <c r="B24" s="292" t="s">
        <v>583</v>
      </c>
      <c r="C24" s="427" t="s">
        <v>894</v>
      </c>
      <c r="D24" s="440"/>
      <c r="E24" s="440" t="s">
        <v>888</v>
      </c>
      <c r="F24" s="440" t="s">
        <v>888</v>
      </c>
      <c r="G24" s="427" t="s">
        <v>895</v>
      </c>
      <c r="H24" s="440">
        <v>1</v>
      </c>
      <c r="I24" s="427" t="s">
        <v>876</v>
      </c>
      <c r="J24" s="426" t="s">
        <v>590</v>
      </c>
      <c r="K24" s="427" t="s">
        <v>778</v>
      </c>
      <c r="L24" s="427" t="s">
        <v>890</v>
      </c>
      <c r="M24" s="429">
        <v>44601</v>
      </c>
      <c r="N24" s="441">
        <v>44965</v>
      </c>
      <c r="O24" s="442">
        <f>(N24-M24)/7</f>
        <v>52</v>
      </c>
      <c r="P24" s="661">
        <v>45112</v>
      </c>
      <c r="Q24" s="661">
        <v>45112</v>
      </c>
      <c r="R24" s="430">
        <f t="shared" si="2"/>
        <v>21</v>
      </c>
      <c r="S24" s="431" t="str">
        <f t="shared" ca="1" si="3"/>
        <v>Alerta</v>
      </c>
      <c r="T24" s="662">
        <v>1</v>
      </c>
      <c r="U24" s="190">
        <f t="shared" si="4"/>
        <v>1</v>
      </c>
      <c r="V24" s="432">
        <f t="shared" si="7"/>
        <v>0.59615384615384615</v>
      </c>
      <c r="W24" s="433" t="str">
        <f t="shared" si="5"/>
        <v>Incumple</v>
      </c>
      <c r="X24" s="616" t="s">
        <v>891</v>
      </c>
      <c r="Y24" s="615" t="s">
        <v>892</v>
      </c>
      <c r="Z24" s="432">
        <f t="shared" si="9"/>
        <v>0.79807692307692313</v>
      </c>
      <c r="AA24" s="453">
        <v>1</v>
      </c>
      <c r="AB24" s="453">
        <v>0</v>
      </c>
      <c r="AC24" s="435">
        <f t="shared" si="8"/>
        <v>0.59935897435897434</v>
      </c>
      <c r="AD24" s="427" t="s">
        <v>896</v>
      </c>
    </row>
    <row r="25" spans="1:30" ht="123" customHeight="1">
      <c r="A25" s="292" t="s">
        <v>341</v>
      </c>
      <c r="B25" s="292" t="s">
        <v>583</v>
      </c>
      <c r="C25" s="427" t="s">
        <v>897</v>
      </c>
      <c r="D25" s="440"/>
      <c r="E25" s="440" t="s">
        <v>888</v>
      </c>
      <c r="F25" s="440" t="s">
        <v>888</v>
      </c>
      <c r="G25" s="427" t="s">
        <v>895</v>
      </c>
      <c r="H25" s="440">
        <v>1</v>
      </c>
      <c r="I25" s="427" t="s">
        <v>876</v>
      </c>
      <c r="J25" s="426" t="s">
        <v>590</v>
      </c>
      <c r="K25" s="427" t="s">
        <v>778</v>
      </c>
      <c r="L25" s="427" t="s">
        <v>890</v>
      </c>
      <c r="M25" s="429">
        <v>44601</v>
      </c>
      <c r="N25" s="441">
        <v>44965</v>
      </c>
      <c r="O25" s="442">
        <f t="shared" ref="O25:O30" si="10">(N25-M25)/7</f>
        <v>52</v>
      </c>
      <c r="P25" s="661">
        <v>45112</v>
      </c>
      <c r="Q25" s="661">
        <v>45112</v>
      </c>
      <c r="R25" s="430">
        <f t="shared" si="2"/>
        <v>21</v>
      </c>
      <c r="S25" s="431" t="str">
        <f t="shared" ca="1" si="3"/>
        <v>Alerta</v>
      </c>
      <c r="T25" s="662">
        <v>1</v>
      </c>
      <c r="U25" s="190">
        <f t="shared" si="4"/>
        <v>1</v>
      </c>
      <c r="V25" s="432">
        <f t="shared" si="7"/>
        <v>0.59615384615384615</v>
      </c>
      <c r="W25" s="433" t="str">
        <f t="shared" si="5"/>
        <v>Incumple</v>
      </c>
      <c r="X25" s="616" t="s">
        <v>891</v>
      </c>
      <c r="Y25" s="615" t="s">
        <v>892</v>
      </c>
      <c r="Z25" s="432">
        <f t="shared" si="9"/>
        <v>0.79807692307692313</v>
      </c>
      <c r="AA25" s="453">
        <v>1</v>
      </c>
      <c r="AB25" s="453">
        <v>0</v>
      </c>
      <c r="AC25" s="435">
        <f t="shared" si="8"/>
        <v>0.59935897435897434</v>
      </c>
      <c r="AD25" s="427" t="s">
        <v>896</v>
      </c>
    </row>
    <row r="26" spans="1:30" ht="122.25" customHeight="1">
      <c r="A26" s="292" t="s">
        <v>341</v>
      </c>
      <c r="B26" s="292" t="s">
        <v>583</v>
      </c>
      <c r="C26" s="427" t="s">
        <v>898</v>
      </c>
      <c r="D26" s="440"/>
      <c r="E26" s="440" t="s">
        <v>888</v>
      </c>
      <c r="F26" s="440" t="s">
        <v>888</v>
      </c>
      <c r="G26" s="427" t="s">
        <v>895</v>
      </c>
      <c r="H26" s="440">
        <v>1</v>
      </c>
      <c r="I26" s="427" t="s">
        <v>876</v>
      </c>
      <c r="J26" s="426" t="s">
        <v>590</v>
      </c>
      <c r="K26" s="427" t="s">
        <v>778</v>
      </c>
      <c r="L26" s="427" t="s">
        <v>890</v>
      </c>
      <c r="M26" s="429">
        <v>44601</v>
      </c>
      <c r="N26" s="441">
        <v>44965</v>
      </c>
      <c r="O26" s="442">
        <f t="shared" si="10"/>
        <v>52</v>
      </c>
      <c r="P26" s="661">
        <v>45112</v>
      </c>
      <c r="Q26" s="661">
        <v>45112</v>
      </c>
      <c r="R26" s="430">
        <f t="shared" si="2"/>
        <v>21</v>
      </c>
      <c r="S26" s="431" t="str">
        <f t="shared" ca="1" si="3"/>
        <v>Alerta</v>
      </c>
      <c r="T26" s="662">
        <v>1</v>
      </c>
      <c r="U26" s="190">
        <f t="shared" si="4"/>
        <v>1</v>
      </c>
      <c r="V26" s="432">
        <f t="shared" si="7"/>
        <v>0.59615384615384615</v>
      </c>
      <c r="W26" s="433" t="str">
        <f t="shared" si="5"/>
        <v>Incumple</v>
      </c>
      <c r="X26" s="616" t="s">
        <v>891</v>
      </c>
      <c r="Y26" s="615" t="s">
        <v>892</v>
      </c>
      <c r="Z26" s="432">
        <f t="shared" si="9"/>
        <v>0.79807692307692313</v>
      </c>
      <c r="AA26" s="453">
        <v>1</v>
      </c>
      <c r="AB26" s="453">
        <v>0</v>
      </c>
      <c r="AC26" s="435">
        <f t="shared" si="8"/>
        <v>0.59935897435897434</v>
      </c>
      <c r="AD26" s="427" t="s">
        <v>896</v>
      </c>
    </row>
    <row r="27" spans="1:30" ht="119.25" customHeight="1">
      <c r="A27" s="292" t="s">
        <v>341</v>
      </c>
      <c r="B27" s="292" t="s">
        <v>583</v>
      </c>
      <c r="C27" s="427" t="s">
        <v>899</v>
      </c>
      <c r="D27" s="440"/>
      <c r="E27" s="440" t="s">
        <v>888</v>
      </c>
      <c r="F27" s="440" t="s">
        <v>888</v>
      </c>
      <c r="G27" s="427" t="s">
        <v>895</v>
      </c>
      <c r="H27" s="440">
        <v>1</v>
      </c>
      <c r="I27" s="427" t="s">
        <v>876</v>
      </c>
      <c r="J27" s="426" t="s">
        <v>590</v>
      </c>
      <c r="K27" s="427" t="s">
        <v>778</v>
      </c>
      <c r="L27" s="427" t="s">
        <v>890</v>
      </c>
      <c r="M27" s="429">
        <v>44601</v>
      </c>
      <c r="N27" s="441">
        <v>44965</v>
      </c>
      <c r="O27" s="442">
        <f t="shared" si="10"/>
        <v>52</v>
      </c>
      <c r="P27" s="661">
        <v>45112</v>
      </c>
      <c r="Q27" s="661">
        <v>45112</v>
      </c>
      <c r="R27" s="430">
        <f t="shared" si="2"/>
        <v>21</v>
      </c>
      <c r="S27" s="431" t="str">
        <f t="shared" ca="1" si="3"/>
        <v>Alerta</v>
      </c>
      <c r="T27" s="662">
        <v>1</v>
      </c>
      <c r="U27" s="190">
        <f t="shared" si="4"/>
        <v>1</v>
      </c>
      <c r="V27" s="432">
        <f t="shared" si="7"/>
        <v>0.59615384615384615</v>
      </c>
      <c r="W27" s="433" t="str">
        <f t="shared" si="5"/>
        <v>Incumple</v>
      </c>
      <c r="X27" s="616" t="s">
        <v>891</v>
      </c>
      <c r="Y27" s="615" t="s">
        <v>892</v>
      </c>
      <c r="Z27" s="432">
        <f t="shared" si="9"/>
        <v>0.79807692307692313</v>
      </c>
      <c r="AA27" s="453">
        <v>1</v>
      </c>
      <c r="AB27" s="453">
        <v>0</v>
      </c>
      <c r="AC27" s="435">
        <f t="shared" si="8"/>
        <v>0.59935897435897434</v>
      </c>
      <c r="AD27" s="427" t="s">
        <v>896</v>
      </c>
    </row>
    <row r="28" spans="1:30" ht="114.75" customHeight="1">
      <c r="A28" s="292" t="s">
        <v>341</v>
      </c>
      <c r="B28" s="292" t="s">
        <v>583</v>
      </c>
      <c r="C28" s="427" t="s">
        <v>900</v>
      </c>
      <c r="D28" s="440"/>
      <c r="E28" s="440" t="s">
        <v>901</v>
      </c>
      <c r="F28" s="440" t="s">
        <v>901</v>
      </c>
      <c r="G28" s="427" t="s">
        <v>895</v>
      </c>
      <c r="H28" s="440">
        <v>1</v>
      </c>
      <c r="I28" s="427" t="s">
        <v>876</v>
      </c>
      <c r="J28" s="426" t="s">
        <v>590</v>
      </c>
      <c r="K28" s="427" t="s">
        <v>778</v>
      </c>
      <c r="L28" s="427" t="s">
        <v>902</v>
      </c>
      <c r="M28" s="429">
        <v>44601</v>
      </c>
      <c r="N28" s="441">
        <v>44965</v>
      </c>
      <c r="O28" s="442">
        <f t="shared" si="10"/>
        <v>52</v>
      </c>
      <c r="P28" s="661">
        <v>45112</v>
      </c>
      <c r="Q28" s="661">
        <v>45112</v>
      </c>
      <c r="R28" s="430">
        <f t="shared" si="2"/>
        <v>21</v>
      </c>
      <c r="S28" s="431" t="str">
        <f t="shared" ca="1" si="3"/>
        <v>Alerta</v>
      </c>
      <c r="T28" s="662">
        <v>1</v>
      </c>
      <c r="U28" s="190">
        <f t="shared" si="4"/>
        <v>1</v>
      </c>
      <c r="V28" s="432">
        <f t="shared" si="7"/>
        <v>0.59615384615384615</v>
      </c>
      <c r="W28" s="433" t="str">
        <f t="shared" si="5"/>
        <v>Incumple</v>
      </c>
      <c r="X28" s="616" t="s">
        <v>891</v>
      </c>
      <c r="Y28" s="615" t="s">
        <v>892</v>
      </c>
      <c r="Z28" s="432">
        <f t="shared" si="9"/>
        <v>0.79807692307692313</v>
      </c>
      <c r="AA28" s="453">
        <v>1</v>
      </c>
      <c r="AB28" s="453">
        <v>0</v>
      </c>
      <c r="AC28" s="435">
        <f t="shared" si="8"/>
        <v>0.59935897435897434</v>
      </c>
      <c r="AD28" s="427" t="s">
        <v>896</v>
      </c>
    </row>
    <row r="29" spans="1:30" ht="111" customHeight="1">
      <c r="A29" s="292" t="s">
        <v>341</v>
      </c>
      <c r="B29" s="292" t="s">
        <v>583</v>
      </c>
      <c r="C29" s="427" t="s">
        <v>903</v>
      </c>
      <c r="D29" s="427"/>
      <c r="E29" s="427" t="s">
        <v>904</v>
      </c>
      <c r="F29" s="427" t="s">
        <v>905</v>
      </c>
      <c r="G29" s="427" t="s">
        <v>906</v>
      </c>
      <c r="H29" s="440">
        <v>1</v>
      </c>
      <c r="I29" s="427" t="s">
        <v>876</v>
      </c>
      <c r="J29" s="426" t="s">
        <v>590</v>
      </c>
      <c r="K29" s="427" t="s">
        <v>778</v>
      </c>
      <c r="L29" s="427" t="s">
        <v>902</v>
      </c>
      <c r="M29" s="429">
        <v>44601</v>
      </c>
      <c r="N29" s="441">
        <v>44965</v>
      </c>
      <c r="O29" s="442">
        <f t="shared" si="10"/>
        <v>52</v>
      </c>
      <c r="P29" s="661">
        <v>45112</v>
      </c>
      <c r="Q29" s="661">
        <v>45112</v>
      </c>
      <c r="R29" s="430">
        <f t="shared" si="2"/>
        <v>21</v>
      </c>
      <c r="S29" s="431" t="str">
        <f t="shared" ca="1" si="3"/>
        <v>Alerta</v>
      </c>
      <c r="T29" s="662">
        <v>1</v>
      </c>
      <c r="U29" s="190">
        <f t="shared" si="4"/>
        <v>1</v>
      </c>
      <c r="V29" s="432">
        <f t="shared" si="7"/>
        <v>0.59615384615384615</v>
      </c>
      <c r="W29" s="433" t="str">
        <f t="shared" si="5"/>
        <v>Incumple</v>
      </c>
      <c r="X29" s="616" t="s">
        <v>891</v>
      </c>
      <c r="Y29" s="615" t="s">
        <v>892</v>
      </c>
      <c r="Z29" s="432">
        <f t="shared" si="9"/>
        <v>0.79807692307692313</v>
      </c>
      <c r="AA29" s="453">
        <v>1</v>
      </c>
      <c r="AB29" s="453">
        <v>0</v>
      </c>
      <c r="AC29" s="435">
        <f t="shared" si="8"/>
        <v>0.59935897435897434</v>
      </c>
      <c r="AD29" s="427" t="s">
        <v>896</v>
      </c>
    </row>
    <row r="30" spans="1:30" ht="136.5" customHeight="1">
      <c r="A30" s="292" t="s">
        <v>341</v>
      </c>
      <c r="B30" s="292" t="s">
        <v>583</v>
      </c>
      <c r="C30" s="427" t="s">
        <v>907</v>
      </c>
      <c r="D30" s="427"/>
      <c r="E30" s="427" t="s">
        <v>908</v>
      </c>
      <c r="F30" s="427" t="s">
        <v>909</v>
      </c>
      <c r="G30" s="427" t="s">
        <v>910</v>
      </c>
      <c r="H30" s="440">
        <v>1</v>
      </c>
      <c r="I30" s="427" t="s">
        <v>876</v>
      </c>
      <c r="J30" s="426" t="s">
        <v>590</v>
      </c>
      <c r="K30" s="427" t="s">
        <v>778</v>
      </c>
      <c r="L30" s="427" t="s">
        <v>911</v>
      </c>
      <c r="M30" s="429">
        <v>44601</v>
      </c>
      <c r="N30" s="441">
        <v>44965</v>
      </c>
      <c r="O30" s="442">
        <f t="shared" si="10"/>
        <v>52</v>
      </c>
      <c r="P30" s="661">
        <v>44742</v>
      </c>
      <c r="Q30" s="661">
        <v>44909</v>
      </c>
      <c r="R30" s="430">
        <f t="shared" si="2"/>
        <v>-31.857142857142858</v>
      </c>
      <c r="S30" s="431" t="str">
        <f t="shared" ca="1" si="3"/>
        <v>Alerta</v>
      </c>
      <c r="T30" s="662">
        <v>1</v>
      </c>
      <c r="U30" s="190">
        <f t="shared" si="4"/>
        <v>1</v>
      </c>
      <c r="V30" s="432" t="str">
        <f t="shared" si="7"/>
        <v>100%</v>
      </c>
      <c r="W30" s="433" t="str">
        <f t="shared" si="5"/>
        <v>Cumple</v>
      </c>
      <c r="X30" s="616"/>
      <c r="Y30" s="615" t="s">
        <v>912</v>
      </c>
      <c r="Z30" s="432">
        <f t="shared" si="9"/>
        <v>1</v>
      </c>
      <c r="AA30" s="434">
        <v>1</v>
      </c>
      <c r="AB30" s="434">
        <v>0.9</v>
      </c>
      <c r="AC30" s="435">
        <f t="shared" si="8"/>
        <v>0.96666666666666667</v>
      </c>
      <c r="AD30" s="443" t="s">
        <v>913</v>
      </c>
    </row>
    <row r="31" spans="1:30" ht="25.5" customHeight="1" thickBot="1">
      <c r="R31" s="714" t="s">
        <v>914</v>
      </c>
      <c r="S31" s="714"/>
      <c r="T31" s="444">
        <f>SUM(T7:T30)</f>
        <v>517.95000000000005</v>
      </c>
      <c r="U31" s="161">
        <f>AVERAGE(U7:U30)</f>
        <v>0.95624999999999993</v>
      </c>
      <c r="V31" s="445">
        <f>AVERAGE(V7:V30)</f>
        <v>0.3174004637419271</v>
      </c>
      <c r="W31" s="446">
        <f>(COUNTIF(W8:W30,"Cumple")*100%)/COUNTA(W8:W30)</f>
        <v>8.6956521739130432E-2</v>
      </c>
      <c r="Z31" s="447">
        <f>AVERAGE(Z7:Z30)</f>
        <v>0.66526687921505001</v>
      </c>
      <c r="AA31" s="92"/>
      <c r="AB31" s="92"/>
      <c r="AC31" s="447">
        <f>AVERAGE(AC7:AC30)</f>
        <v>0.67123055865433923</v>
      </c>
      <c r="AD31" s="92"/>
    </row>
  </sheetData>
  <autoFilter ref="A6:AD6" xr:uid="{00000000-0001-0000-1900-000000000000}"/>
  <dataConsolidate/>
  <mergeCells count="28">
    <mergeCell ref="Z5:AD5"/>
    <mergeCell ref="O1:P2"/>
    <mergeCell ref="Q1:Y2"/>
    <mergeCell ref="Z1:AD4"/>
    <mergeCell ref="A2:B2"/>
    <mergeCell ref="C2:F2"/>
    <mergeCell ref="G2:H2"/>
    <mergeCell ref="I2:N2"/>
    <mergeCell ref="Q3:V3"/>
    <mergeCell ref="A1:B1"/>
    <mergeCell ref="C1:N1"/>
    <mergeCell ref="A3:B3"/>
    <mergeCell ref="C3:F3"/>
    <mergeCell ref="G3:H3"/>
    <mergeCell ref="I3:N3"/>
    <mergeCell ref="O3:P3"/>
    <mergeCell ref="T4:U4"/>
    <mergeCell ref="W3:X3"/>
    <mergeCell ref="V4:Y4"/>
    <mergeCell ref="R31:S31"/>
    <mergeCell ref="A4:B4"/>
    <mergeCell ref="C4:F4"/>
    <mergeCell ref="G4:H4"/>
    <mergeCell ref="I4:N4"/>
    <mergeCell ref="O4:P4"/>
    <mergeCell ref="Q4:S4"/>
    <mergeCell ref="A5:N5"/>
    <mergeCell ref="O5:Y5"/>
  </mergeCells>
  <conditionalFormatting sqref="R7:R30">
    <cfRule type="cellIs" dxfId="352" priority="27" operator="greaterThan">
      <formula>0</formula>
    </cfRule>
    <cfRule type="cellIs" dxfId="351" priority="28" operator="lessThan">
      <formula>0</formula>
    </cfRule>
  </conditionalFormatting>
  <conditionalFormatting sqref="S7:S30">
    <cfRule type="containsText" dxfId="350" priority="25" operator="containsText" text="Alerta">
      <formula>NOT(ISERROR(SEARCH("Alerta",S7)))</formula>
    </cfRule>
    <cfRule type="containsText" dxfId="349" priority="26" operator="containsText" text="En tiempo">
      <formula>NOT(ISERROR(SEARCH("En tiempo",S7)))</formula>
    </cfRule>
  </conditionalFormatting>
  <conditionalFormatting sqref="U7:U31">
    <cfRule type="cellIs" dxfId="348" priority="1" stopIfTrue="1" operator="between">
      <formula>0.8</formula>
      <formula>1</formula>
    </cfRule>
    <cfRule type="cellIs" dxfId="347" priority="2" stopIfTrue="1" operator="between">
      <formula>0.5</formula>
      <formula>0.79</formula>
    </cfRule>
    <cfRule type="cellIs" dxfId="346" priority="3" stopIfTrue="1" operator="between">
      <formula>0.3</formula>
      <formula>0.49</formula>
    </cfRule>
    <cfRule type="cellIs" dxfId="345" priority="4" stopIfTrue="1" operator="between">
      <formula>0</formula>
      <formula>0.29</formula>
    </cfRule>
  </conditionalFormatting>
  <conditionalFormatting sqref="V7:V30">
    <cfRule type="cellIs" dxfId="344" priority="19" operator="between">
      <formula>0.19</formula>
      <formula>0</formula>
    </cfRule>
    <cfRule type="cellIs" dxfId="343" priority="20" operator="between">
      <formula>0.49</formula>
      <formula>0.2</formula>
    </cfRule>
    <cfRule type="cellIs" dxfId="342" priority="21" operator="between">
      <formula>0.89</formula>
      <formula>0.5</formula>
    </cfRule>
    <cfRule type="cellIs" dxfId="341" priority="22" operator="between">
      <formula>1</formula>
      <formula>0.9</formula>
    </cfRule>
  </conditionalFormatting>
  <conditionalFormatting sqref="W7:W30">
    <cfRule type="containsText" dxfId="340" priority="23" operator="containsText" text="Incumple">
      <formula>NOT(ISERROR(SEARCH("Incumple",W7)))</formula>
    </cfRule>
    <cfRule type="containsText" dxfId="339" priority="24" operator="containsText" text="Cumple">
      <formula>NOT(ISERROR(SEARCH("Cumple",W7)))</formula>
    </cfRule>
  </conditionalFormatting>
  <conditionalFormatting sqref="W31">
    <cfRule type="cellIs" dxfId="338" priority="5" operator="between">
      <formula>0.19</formula>
      <formula>0</formula>
    </cfRule>
    <cfRule type="cellIs" dxfId="337" priority="6" operator="between">
      <formula>0.49</formula>
      <formula>0.2</formula>
    </cfRule>
    <cfRule type="cellIs" dxfId="336" priority="7" operator="between">
      <formula>0.89</formula>
      <formula>0.5</formula>
    </cfRule>
    <cfRule type="cellIs" dxfId="335" priority="8" operator="between">
      <formula>1</formula>
      <formula>0.9</formula>
    </cfRule>
  </conditionalFormatting>
  <conditionalFormatting sqref="Z7:Z30">
    <cfRule type="cellIs" dxfId="334" priority="15" operator="between">
      <formula>0.19</formula>
      <formula>0</formula>
    </cfRule>
    <cfRule type="cellIs" dxfId="333" priority="16" operator="between">
      <formula>0.49</formula>
      <formula>0.2</formula>
    </cfRule>
    <cfRule type="cellIs" dxfId="332" priority="17" operator="between">
      <formula>0.89</formula>
      <formula>0.5</formula>
    </cfRule>
    <cfRule type="cellIs" dxfId="331" priority="18" operator="between">
      <formula>1</formula>
      <formula>0.9</formula>
    </cfRule>
  </conditionalFormatting>
  <conditionalFormatting sqref="AC7:AC30">
    <cfRule type="cellIs" dxfId="330" priority="9" operator="between">
      <formula>0.3</formula>
      <formula>0</formula>
    </cfRule>
    <cfRule type="cellIs" dxfId="329" priority="10" operator="between">
      <formula>0.6999</formula>
      <formula>0.3111</formula>
    </cfRule>
    <cfRule type="cellIs" dxfId="328" priority="11" operator="between">
      <formula>1</formula>
      <formula>0.7</formula>
    </cfRule>
  </conditionalFormatting>
  <dataValidations count="4">
    <dataValidation type="list" allowBlank="1" showInputMessage="1" showErrorMessage="1" sqref="K7:K30" xr:uid="{00000000-0002-0000-1900-000000000000}">
      <formula1>$AS$4:$AS$10</formula1>
    </dataValidation>
    <dataValidation type="list" allowBlank="1" showInputMessage="1" showErrorMessage="1" sqref="A7:A30" xr:uid="{00000000-0002-0000-1900-000002000000}">
      <formula1>$AP$4:$AP$10</formula1>
    </dataValidation>
    <dataValidation type="list" allowBlank="1" showInputMessage="1" showErrorMessage="1" sqref="B7:B30" xr:uid="{00000000-0002-0000-1900-000003000000}">
      <formula1>$AV$5:$AV$8</formula1>
    </dataValidation>
    <dataValidation type="list" allowBlank="1" showInputMessage="1" showErrorMessage="1" errorTitle="Estado" error="No es un estado de los Planes de Mejoramiento" sqref="Q4:S4" xr:uid="{00000000-0002-0000-1900-000004000000}">
      <formula1>$AW$4:$AW$7</formula1>
    </dataValidation>
  </dataValidations>
  <pageMargins left="1.4960629921259843" right="0.70866141732283472" top="0.74803149606299213" bottom="0.74803149606299213" header="0.31496062992125984" footer="0.31496062992125984"/>
  <pageSetup scale="34" fitToWidth="0" orientation="landscape" r:id="rId1"/>
  <colBreaks count="2" manualBreakCount="2">
    <brk id="14" max="1048575" man="1"/>
    <brk id="25"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4796b92-89f8-46a2-8728-98f3114e09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764A3368A43249B966AA3699092348" ma:contentTypeVersion="7" ma:contentTypeDescription="Create a new document." ma:contentTypeScope="" ma:versionID="d90a39c1f8b924ece199e148e2211784">
  <xsd:schema xmlns:xsd="http://www.w3.org/2001/XMLSchema" xmlns:xs="http://www.w3.org/2001/XMLSchema" xmlns:p="http://schemas.microsoft.com/office/2006/metadata/properties" xmlns:ns3="c4796b92-89f8-46a2-8728-98f3114e09c5" xmlns:ns4="c36cb2c1-8dd1-4872-8ba8-8ad0b6598448" targetNamespace="http://schemas.microsoft.com/office/2006/metadata/properties" ma:root="true" ma:fieldsID="9c09250d729fb5f0ba718bf0dd38bcc2" ns3:_="" ns4:_="">
    <xsd:import namespace="c4796b92-89f8-46a2-8728-98f3114e09c5"/>
    <xsd:import namespace="c36cb2c1-8dd1-4872-8ba8-8ad0b659844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96b92-89f8-46a2-8728-98f3114e0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6cb2c1-8dd1-4872-8ba8-8ad0b65984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F1DA65-EAE5-4A50-85E6-EDD847D8E6E3}"/>
</file>

<file path=customXml/itemProps2.xml><?xml version="1.0" encoding="utf-8"?>
<ds:datastoreItem xmlns:ds="http://schemas.openxmlformats.org/officeDocument/2006/customXml" ds:itemID="{9680084C-0755-4602-9CDC-77D76DACD198}"/>
</file>

<file path=customXml/itemProps3.xml><?xml version="1.0" encoding="utf-8"?>
<ds:datastoreItem xmlns:ds="http://schemas.openxmlformats.org/officeDocument/2006/customXml" ds:itemID="{25227E4C-EA37-4555-B5F4-0E6D0F1A95D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unicauca</dc:creator>
  <cp:keywords/>
  <dc:description/>
  <cp:lastModifiedBy/>
  <cp:revision/>
  <dcterms:created xsi:type="dcterms:W3CDTF">2019-03-05T20:04:30Z</dcterms:created>
  <dcterms:modified xsi:type="dcterms:W3CDTF">2024-02-23T16:24:25Z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0x01010063764A3368A43249B966AA3699092348</vt:lpwstr>
  </property>
</Properties>
</file>